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4445" windowHeight="10050" activeTab="2"/>
  </bookViews>
  <sheets>
    <sheet name="GeneralData" sheetId="1" r:id="rId1"/>
    <sheet name="Positionen" sheetId="2" r:id="rId2"/>
    <sheet name="PhasenBerech" sheetId="3" r:id="rId3"/>
    <sheet name="Ball.Guide" sheetId="4" r:id="rId4"/>
    <sheet name="Extr.System" sheetId="5" r:id="rId5"/>
    <sheet name="EvalTime" sheetId="6" r:id="rId6"/>
  </sheets>
  <definedNames/>
  <calcPr fullCalcOnLoad="1"/>
</workbook>
</file>

<file path=xl/comments2.xml><?xml version="1.0" encoding="utf-8"?>
<comments xmlns="http://schemas.openxmlformats.org/spreadsheetml/2006/main">
  <authors>
    <author>Klaus Lieutenant</author>
  </authors>
  <commentList>
    <comment ref="D1" authorId="0">
      <text>
        <r>
          <rPr>
            <b/>
            <sz val="8"/>
            <rFont val="Tahoma"/>
            <family val="0"/>
          </rPr>
          <t>Klaus Lieutenant: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<sst xmlns="http://schemas.openxmlformats.org/spreadsheetml/2006/main" count="199" uniqueCount="170">
  <si>
    <t>Source
Moderator</t>
  </si>
  <si>
    <t>Guide</t>
  </si>
  <si>
    <t>Chopper 1</t>
  </si>
  <si>
    <t>Chopper 2</t>
  </si>
  <si>
    <t>Sample</t>
  </si>
  <si>
    <t>Detector</t>
  </si>
  <si>
    <t>Chopper 3</t>
  </si>
  <si>
    <t>Chopper 4</t>
  </si>
  <si>
    <t>Position
[m]</t>
  </si>
  <si>
    <t>Pulse Lengths [ms]
(end/max)</t>
  </si>
  <si>
    <t>converging, m=2
2 x 8 -&gt; 1.3 x 2.6 cm²</t>
  </si>
  <si>
    <t>Guides</t>
  </si>
  <si>
    <t>Simulation</t>
  </si>
  <si>
    <t>- no gravity included</t>
  </si>
  <si>
    <t>Choppers</t>
  </si>
  <si>
    <t>- 35 cm radius
- beam passes at 30 cm
- 100% absorption</t>
  </si>
  <si>
    <t>- eval. time without half 
shadow</t>
  </si>
  <si>
    <t>Extraction system</t>
  </si>
  <si>
    <t>Chopper 5</t>
  </si>
  <si>
    <t>Chopper 7</t>
  </si>
  <si>
    <t>Chopper 6</t>
  </si>
  <si>
    <t>- waviness 0.005°
- abutment loss included</t>
  </si>
  <si>
    <t>MagPow an HiLP</t>
  </si>
  <si>
    <t>Window</t>
  </si>
  <si>
    <t>1.5 x 8 cm²</t>
  </si>
  <si>
    <t>1.50 - 6.50</t>
  </si>
  <si>
    <t>Chopper 8</t>
  </si>
  <si>
    <t>distance to source 
[m]</t>
  </si>
  <si>
    <t>Phase
[deg]</t>
  </si>
  <si>
    <t>center of peak
[ms]</t>
  </si>
  <si>
    <t>TOF
[ms]</t>
  </si>
  <si>
    <t>repetition time of source
[ms]</t>
  </si>
  <si>
    <r>
      <t>t</t>
    </r>
    <r>
      <rPr>
        <vertAlign val="subscript"/>
        <sz val="10"/>
        <rFont val="Arial"/>
        <family val="2"/>
      </rPr>
      <t xml:space="preserve">0
</t>
    </r>
    <r>
      <rPr>
        <sz val="10"/>
        <rFont val="Arial"/>
        <family val="2"/>
      </rPr>
      <t>[ms]</t>
    </r>
  </si>
  <si>
    <t>Phase of source freq.
[deg]</t>
  </si>
  <si>
    <t>red. Phase
[deg]</t>
  </si>
  <si>
    <t>Rot.freq.
[rpm]</t>
  </si>
  <si>
    <r>
      <t>T</t>
    </r>
    <r>
      <rPr>
        <vertAlign val="subscript"/>
        <sz val="10"/>
        <rFont val="Arial"/>
        <family val="2"/>
      </rPr>
      <t>chop</t>
    </r>
    <r>
      <rPr>
        <sz val="10"/>
        <rFont val="Arial"/>
        <family val="0"/>
      </rPr>
      <t xml:space="preserve">
[ms]</t>
    </r>
  </si>
  <si>
    <r>
      <t>∆t</t>
    </r>
    <r>
      <rPr>
        <vertAlign val="subscript"/>
        <sz val="10"/>
        <rFont val="Arial"/>
        <family val="2"/>
      </rPr>
      <t>open</t>
    </r>
    <r>
      <rPr>
        <sz val="10"/>
        <rFont val="Arial"/>
        <family val="0"/>
      </rPr>
      <t xml:space="preserve">
[ms]</t>
    </r>
  </si>
  <si>
    <t>Aperture
[deg]</t>
  </si>
  <si>
    <r>
      <t>distance to 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-choppers
[m]</t>
    </r>
  </si>
  <si>
    <t>6.68 - 8.01</t>
  </si>
  <si>
    <t>8.01 - 10.00</t>
  </si>
  <si>
    <t>10.00 - 12.03</t>
  </si>
  <si>
    <t>12.03 - 19.77</t>
  </si>
  <si>
    <t>158.06 - 159.56</t>
  </si>
  <si>
    <t>145.56 - 158.06</t>
  </si>
  <si>
    <t>single disc, 180°, 1000 rpm</t>
  </si>
  <si>
    <t>Component properties</t>
  </si>
  <si>
    <t>FO</t>
  </si>
  <si>
    <t>SFO</t>
  </si>
  <si>
    <t>SFD</t>
  </si>
  <si>
    <t>FD</t>
  </si>
  <si>
    <t>Det</t>
  </si>
  <si>
    <t>T0</t>
  </si>
  <si>
    <t>single disc, 3 x 43.6°, 17000 rpm</t>
  </si>
  <si>
    <t>single disc, 26.0°, 1000 rpm</t>
  </si>
  <si>
    <t>single disc, 3 x 66.0°, 12000 rpm</t>
  </si>
  <si>
    <t>single disc, 3 x 77.9°, 7666.7 rpm</t>
  </si>
  <si>
    <t>joining + converg., m=3, 
cold: 4.8 x 8 -&gt; 1.5 x 8  (0.72°)
thermal: 1.5 x 8 cm²  (0.0°)</t>
  </si>
  <si>
    <t>Hi-LPSS 16.667 Hz
Dual-spectral, 10 x 12 cm² each</t>
  </si>
  <si>
    <t>1.0 / 4.3 cold, 1.0 / 3.7 thermal</t>
  </si>
  <si>
    <t>Height
[cm]</t>
  </si>
  <si>
    <t>Width
[cm]</t>
  </si>
  <si>
    <r>
      <t>Distance to 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-chopper
[m]</t>
    </r>
  </si>
  <si>
    <r>
      <t>Distance to  window behind 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-chopper
[m]</t>
    </r>
  </si>
  <si>
    <t>Count rate</t>
  </si>
  <si>
    <t>single disc, 3 x 20°, 20000 rpm</t>
  </si>
  <si>
    <t>straight, m=1
4.5 x 13 cm²</t>
  </si>
  <si>
    <t>converging, m=2
4.5 x 13 -&gt; 2 x 8 cm²</t>
  </si>
  <si>
    <t>130.56 - 145.56</t>
  </si>
  <si>
    <t>32.77 - 81.87</t>
  </si>
  <si>
    <t>19.77 - 32.77</t>
  </si>
  <si>
    <t>81.87 - 130.56</t>
  </si>
  <si>
    <r>
      <t>divergent, m</t>
    </r>
    <r>
      <rPr>
        <vertAlign val="subscript"/>
        <sz val="10"/>
        <rFont val="Arial"/>
        <family val="2"/>
      </rPr>
      <t>tb</t>
    </r>
    <r>
      <rPr>
        <sz val="10"/>
        <rFont val="Arial"/>
        <family val="0"/>
      </rPr>
      <t>=2, m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=3, m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=3.7
1.5 x 8 -&gt; 1.65 x 8.25 cm²</t>
    </r>
  </si>
  <si>
    <t>single disc, 18°,  1000 rpm</t>
  </si>
  <si>
    <r>
      <t>divergent, m</t>
    </r>
    <r>
      <rPr>
        <vertAlign val="subscript"/>
        <sz val="10"/>
        <rFont val="Arial"/>
        <family val="2"/>
      </rPr>
      <t>tb</t>
    </r>
    <r>
      <rPr>
        <sz val="10"/>
        <rFont val="Arial"/>
        <family val="0"/>
      </rPr>
      <t>=2, m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=3, m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>=3.7 
1.65 x 8.25 -&gt; 1.88 x 8.64 cm²</t>
    </r>
  </si>
  <si>
    <r>
      <t>divergent, m</t>
    </r>
    <r>
      <rPr>
        <vertAlign val="subscript"/>
        <sz val="10"/>
        <rFont val="Arial"/>
        <family val="2"/>
      </rPr>
      <t>tb</t>
    </r>
    <r>
      <rPr>
        <sz val="10"/>
        <rFont val="Arial"/>
        <family val="0"/>
      </rPr>
      <t>=2, m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=3, m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>=3.7 
1.88 x 8.64 -&gt; 2.12 x 9.03 cm²</t>
    </r>
  </si>
  <si>
    <t>divergent, m=2, m=3 
2.12 x 9.03 -&gt; 3.01 x 10.51 cm²</t>
  </si>
  <si>
    <t>straight, m=2, 
3.01 x 10.51 -&gt; 4.5 x 13 cm²</t>
  </si>
  <si>
    <t>straight, m=1, 
4.5 x 13 cm²</t>
  </si>
  <si>
    <r>
      <t>straight, m=2</t>
    </r>
    <r>
      <rPr>
        <sz val="10"/>
        <rFont val="Arial"/>
        <family val="0"/>
      </rPr>
      <t xml:space="preserve">
1.3 x 2.6 cm²</t>
    </r>
  </si>
  <si>
    <t>cylindrical: radius 2 m, height 0.7 m
total length 6.06 m, grid 2x2 cm²
efficiency 0.9</t>
  </si>
  <si>
    <t>1.0 x 2.0 x 0.2 cm³ 
Ni powder</t>
  </si>
  <si>
    <t>eval_min
total
[ms]</t>
  </si>
  <si>
    <t>eval_max
total
[ms]</t>
  </si>
  <si>
    <t>no of wnd.</t>
  </si>
  <si>
    <t>no of openings per src cycle</t>
  </si>
  <si>
    <t>average wave-length
[Å]</t>
  </si>
  <si>
    <t>Total distance  
[m]</t>
  </si>
  <si>
    <t>declination
[deg]</t>
  </si>
  <si>
    <t>total length
[cm]</t>
  </si>
  <si>
    <t>aperture
[cm]</t>
  </si>
  <si>
    <t>eye-width
[cm]</t>
  </si>
  <si>
    <t>declin_23
[deg]</t>
  </si>
  <si>
    <t>Piece length
[m]</t>
  </si>
  <si>
    <t>X
[cm]</t>
  </si>
  <si>
    <t>Y
[cm]</t>
  </si>
  <si>
    <t>Z
[cm]</t>
  </si>
  <si>
    <t>length
[cm]</t>
  </si>
  <si>
    <t>shift
[cm]</t>
  </si>
  <si>
    <t>mirror</t>
  </si>
  <si>
    <t>half length
[cm]</t>
  </si>
  <si>
    <t>height
[cm]</t>
  </si>
  <si>
    <t>width
[cm]</t>
  </si>
  <si>
    <t>entrance
[cm]</t>
  </si>
  <si>
    <t>moder.
[cm]</t>
  </si>
  <si>
    <t>distance
[cm]</t>
  </si>
  <si>
    <t>max incl.
[deg]</t>
  </si>
  <si>
    <t>mod. size
[cm]</t>
  </si>
  <si>
    <t>vert.</t>
  </si>
  <si>
    <t>hor.</t>
  </si>
  <si>
    <t xml:space="preserve">direc-tion
</t>
  </si>
  <si>
    <t>min incl.
[deg]</t>
  </si>
  <si>
    <t>average decl.
[deg]</t>
  </si>
  <si>
    <t>m</t>
  </si>
  <si>
    <t>max. lambda  [Å]</t>
  </si>
  <si>
    <t>min accept.
[deg]</t>
  </si>
  <si>
    <t>max accept.
[deg]</t>
  </si>
  <si>
    <t>div. in simul.
[deg]</t>
  </si>
  <si>
    <t xml:space="preserve">colour
</t>
  </si>
  <si>
    <t>λ
[Å]</t>
  </si>
  <si>
    <r>
      <t>T</t>
    </r>
    <r>
      <rPr>
        <vertAlign val="subscript"/>
        <sz val="10"/>
        <rFont val="Arial"/>
        <family val="2"/>
      </rPr>
      <t xml:space="preserve">0
</t>
    </r>
    <r>
      <rPr>
        <sz val="10"/>
        <rFont val="Arial"/>
        <family val="2"/>
      </rPr>
      <t>[ms]</t>
    </r>
  </si>
  <si>
    <r>
      <t>frame</t>
    </r>
    <r>
      <rPr>
        <vertAlign val="subscript"/>
        <sz val="10"/>
        <rFont val="Arial"/>
        <family val="2"/>
      </rPr>
      <t xml:space="preserve">min
</t>
    </r>
    <r>
      <rPr>
        <sz val="10"/>
        <rFont val="Arial"/>
        <family val="0"/>
      </rPr>
      <t xml:space="preserve">
[ms]</t>
    </r>
  </si>
  <si>
    <r>
      <t>frame</t>
    </r>
    <r>
      <rPr>
        <vertAlign val="subscript"/>
        <sz val="10"/>
        <rFont val="Arial"/>
        <family val="2"/>
      </rPr>
      <t xml:space="preserve">max
</t>
    </r>
    <r>
      <rPr>
        <sz val="10"/>
        <rFont val="Arial"/>
        <family val="0"/>
      </rPr>
      <t xml:space="preserve">
[ms]</t>
    </r>
  </si>
  <si>
    <r>
      <t>λ</t>
    </r>
    <r>
      <rPr>
        <vertAlign val="subscript"/>
        <sz val="10"/>
        <rFont val="Arial"/>
        <family val="2"/>
      </rPr>
      <t xml:space="preserve">-
</t>
    </r>
    <r>
      <rPr>
        <sz val="10"/>
        <rFont val="Arial"/>
        <family val="2"/>
      </rPr>
      <t>[</t>
    </r>
    <r>
      <rPr>
        <sz val="10"/>
        <rFont val="Arial"/>
        <family val="0"/>
      </rPr>
      <t>Å</t>
    </r>
    <r>
      <rPr>
        <sz val="10"/>
        <rFont val="Arial"/>
        <family val="2"/>
      </rPr>
      <t>]</t>
    </r>
  </si>
  <si>
    <r>
      <t xml:space="preserve"> λ</t>
    </r>
    <r>
      <rPr>
        <vertAlign val="subscript"/>
        <sz val="10"/>
        <rFont val="Arial"/>
        <family val="2"/>
      </rPr>
      <t xml:space="preserve">+
</t>
    </r>
    <r>
      <rPr>
        <sz val="10"/>
        <rFont val="Arial"/>
        <family val="2"/>
      </rPr>
      <t xml:space="preserve">
[Å]</t>
    </r>
  </si>
  <si>
    <r>
      <t>Dist. to  wnd. beh. 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-chopper
[m]</t>
    </r>
  </si>
  <si>
    <t>Rot. freq. of chopper
[rpm]</t>
  </si>
  <si>
    <t>chopper aperture
[deg]</t>
  </si>
  <si>
    <t>3 - 3 - 3</t>
  </si>
  <si>
    <t>3 - 3 - 2</t>
  </si>
  <si>
    <t>2 - 2 - 2</t>
  </si>
  <si>
    <t>1 - 1 - 1</t>
  </si>
  <si>
    <t>funnel 2</t>
  </si>
  <si>
    <t>end ball. guide,
funnel 1</t>
  </si>
  <si>
    <t>Position of (beg. of) device
[m]</t>
  </si>
  <si>
    <t>(Guide) width
[cm]</t>
  </si>
  <si>
    <t>(Guide) height
[cm]</t>
  </si>
  <si>
    <t>source</t>
  </si>
  <si>
    <t>extraction system</t>
  </si>
  <si>
    <t>aperture</t>
  </si>
  <si>
    <t>div. part of ball. guide</t>
  </si>
  <si>
    <t>sub-frame definit. chp.</t>
  </si>
  <si>
    <t>frame definition chp.</t>
  </si>
  <si>
    <t>frame overlap chopper</t>
  </si>
  <si>
    <t>pulse select. chopper</t>
  </si>
  <si>
    <t>pulse shaping chp. 1</t>
  </si>
  <si>
    <t>pulse shaping chp. 2</t>
  </si>
  <si>
    <t>free flight path</t>
  </si>
  <si>
    <t>straight guide</t>
  </si>
  <si>
    <t>converging guide</t>
  </si>
  <si>
    <t>coating m (left-right-top/bot.)</t>
  </si>
  <si>
    <t>3 - 3.5 - 2</t>
  </si>
  <si>
    <t>Hi-LPTS</t>
  </si>
  <si>
    <t>SPTS</t>
  </si>
  <si>
    <t>FO1</t>
  </si>
  <si>
    <t>FO2</t>
  </si>
  <si>
    <t>GuideAnf</t>
  </si>
  <si>
    <t xml:space="preserve">dist. src
dist. det.
[m] </t>
  </si>
  <si>
    <t>TOF
to det.
[ms]</t>
  </si>
  <si>
    <t>eval_min
[ms]</t>
  </si>
  <si>
    <t>eval_max
[ms]</t>
  </si>
  <si>
    <t>v_min
[km/s]</t>
  </si>
  <si>
    <t>v_max
[km/s]</t>
  </si>
  <si>
    <t>wb-chp
v
[m]</t>
  </si>
  <si>
    <t>v Ths
[ms]</t>
  </si>
  <si>
    <t>T_1/3
α [deg]
[ms]</t>
  </si>
  <si>
    <t>open.
T0, WB 
[ms]</t>
  </si>
  <si>
    <t>TOF to
chop.
[ms]</t>
  </si>
  <si>
    <r>
      <t>T</t>
    </r>
    <r>
      <rPr>
        <vertAlign val="subscript"/>
        <sz val="10"/>
        <rFont val="Arial"/>
        <family val="2"/>
      </rPr>
      <t>p_max
Tp</t>
    </r>
    <r>
      <rPr>
        <sz val="10"/>
        <rFont val="Arial"/>
        <family val="0"/>
      </rPr>
      <t xml:space="preserve">
[ms]</t>
    </r>
  </si>
</sst>
</file>

<file path=xl/styles.xml><?xml version="1.0" encoding="utf-8"?>
<styleSheet xmlns="http://schemas.openxmlformats.org/spreadsheetml/2006/main">
  <numFmts count="3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"/>
    <numFmt numFmtId="189" formatCode="#,##0.0000"/>
    <numFmt numFmtId="190" formatCode="0.000"/>
    <numFmt numFmtId="191" formatCode="0.0000"/>
    <numFmt numFmtId="192" formatCode="0.000E+00"/>
    <numFmt numFmtId="193" formatCode="0.0%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43"/>
      </patternFill>
    </fill>
    <fill>
      <patternFill patternType="solid">
        <fgColor indexed="43"/>
        <bgColor indexed="64"/>
      </patternFill>
    </fill>
    <fill>
      <patternFill patternType="gray125">
        <bgColor indexed="42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49" fontId="0" fillId="7" borderId="1" xfId="0" applyNumberFormat="1" applyFill="1" applyBorder="1" applyAlignment="1">
      <alignment horizontal="center" vertical="top"/>
    </xf>
    <xf numFmtId="49" fontId="0" fillId="0" borderId="0" xfId="0" applyNumberFormat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top"/>
    </xf>
    <xf numFmtId="0" fontId="5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 applyProtection="1">
      <alignment horizontal="center" vertical="top" wrapText="1"/>
      <protection/>
    </xf>
    <xf numFmtId="0" fontId="0" fillId="3" borderId="1" xfId="0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191" fontId="0" fillId="0" borderId="1" xfId="0" applyNumberFormat="1" applyBorder="1" applyAlignment="1">
      <alignment horizontal="right" vertical="center" wrapText="1"/>
    </xf>
    <xf numFmtId="2" fontId="0" fillId="4" borderId="1" xfId="0" applyNumberFormat="1" applyFill="1" applyBorder="1" applyAlignment="1">
      <alignment horizontal="right" vertical="center" wrapText="1"/>
    </xf>
    <xf numFmtId="188" fontId="0" fillId="0" borderId="1" xfId="0" applyNumberFormat="1" applyBorder="1" applyAlignment="1">
      <alignment horizontal="right" vertical="center" wrapText="1"/>
    </xf>
    <xf numFmtId="190" fontId="0" fillId="0" borderId="1" xfId="0" applyNumberFormat="1" applyBorder="1" applyAlignment="1">
      <alignment horizontal="right" vertical="center" wrapText="1"/>
    </xf>
    <xf numFmtId="2" fontId="0" fillId="0" borderId="1" xfId="0" applyNumberFormat="1" applyBorder="1" applyAlignment="1">
      <alignment horizontal="right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188" fontId="0" fillId="4" borderId="1" xfId="0" applyNumberFormat="1" applyFill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righ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2" fontId="0" fillId="0" borderId="6" xfId="0" applyNumberFormat="1" applyFill="1" applyBorder="1" applyAlignment="1">
      <alignment horizontal="right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center" vertical="center" wrapText="1"/>
    </xf>
    <xf numFmtId="0" fontId="0" fillId="5" borderId="1" xfId="0" applyNumberFormat="1" applyFill="1" applyBorder="1" applyAlignment="1">
      <alignment horizontal="center" vertical="center" wrapText="1"/>
    </xf>
    <xf numFmtId="0" fontId="0" fillId="7" borderId="1" xfId="0" applyNumberFormat="1" applyFill="1" applyBorder="1" applyAlignment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/>
      <protection/>
    </xf>
    <xf numFmtId="0" fontId="0" fillId="5" borderId="1" xfId="0" applyNumberFormat="1" applyFill="1" applyBorder="1" applyAlignment="1">
      <alignment horizontal="center" vertical="center"/>
    </xf>
    <xf numFmtId="191" fontId="0" fillId="0" borderId="7" xfId="0" applyNumberFormat="1" applyBorder="1" applyAlignment="1">
      <alignment horizontal="right" vertical="center" wrapText="1"/>
    </xf>
    <xf numFmtId="2" fontId="0" fillId="4" borderId="7" xfId="0" applyNumberFormat="1" applyFill="1" applyBorder="1" applyAlignment="1">
      <alignment horizontal="right" vertical="center" wrapText="1"/>
    </xf>
    <xf numFmtId="2" fontId="0" fillId="0" borderId="7" xfId="0" applyNumberFormat="1" applyFill="1" applyBorder="1" applyAlignment="1">
      <alignment horizontal="right" vertical="center" wrapText="1"/>
    </xf>
    <xf numFmtId="188" fontId="0" fillId="0" borderId="7" xfId="0" applyNumberFormat="1" applyBorder="1" applyAlignment="1">
      <alignment horizontal="right" vertical="center" wrapText="1"/>
    </xf>
    <xf numFmtId="188" fontId="0" fillId="4" borderId="7" xfId="0" applyNumberFormat="1" applyFill="1" applyBorder="1" applyAlignment="1">
      <alignment horizontal="right" vertical="center" wrapText="1"/>
    </xf>
    <xf numFmtId="190" fontId="0" fillId="0" borderId="7" xfId="0" applyNumberFormat="1" applyBorder="1" applyAlignment="1">
      <alignment horizontal="right" vertical="center" wrapText="1"/>
    </xf>
    <xf numFmtId="2" fontId="0" fillId="0" borderId="7" xfId="0" applyNumberFormat="1" applyBorder="1" applyAlignment="1">
      <alignment horizontal="right" vertical="center" wrapText="1"/>
    </xf>
    <xf numFmtId="2" fontId="0" fillId="0" borderId="1" xfId="0" applyNumberFormat="1" applyBorder="1" applyAlignment="1">
      <alignment/>
    </xf>
    <xf numFmtId="190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/>
    </xf>
    <xf numFmtId="2" fontId="0" fillId="9" borderId="1" xfId="0" applyNumberFormat="1" applyFill="1" applyBorder="1" applyAlignment="1">
      <alignment/>
    </xf>
    <xf numFmtId="2" fontId="0" fillId="4" borderId="1" xfId="0" applyNumberFormat="1" applyFill="1" applyBorder="1" applyAlignment="1">
      <alignment/>
    </xf>
    <xf numFmtId="0" fontId="0" fillId="0" borderId="0" xfId="0" applyFill="1" applyAlignment="1">
      <alignment/>
    </xf>
    <xf numFmtId="2" fontId="0" fillId="10" borderId="1" xfId="0" applyNumberFormat="1" applyFill="1" applyBorder="1" applyAlignment="1">
      <alignment/>
    </xf>
    <xf numFmtId="190" fontId="0" fillId="0" borderId="0" xfId="0" applyNumberFormat="1" applyAlignment="1">
      <alignment/>
    </xf>
    <xf numFmtId="190" fontId="0" fillId="4" borderId="1" xfId="0" applyNumberFormat="1" applyFill="1" applyBorder="1" applyAlignment="1">
      <alignment/>
    </xf>
    <xf numFmtId="190" fontId="0" fillId="3" borderId="1" xfId="0" applyNumberFormat="1" applyFill="1" applyBorder="1" applyAlignment="1">
      <alignment horizontal="right" vertical="center"/>
    </xf>
    <xf numFmtId="191" fontId="0" fillId="0" borderId="8" xfId="0" applyNumberFormat="1" applyBorder="1" applyAlignment="1">
      <alignment horizontal="right" vertical="center" wrapText="1"/>
    </xf>
    <xf numFmtId="188" fontId="0" fillId="0" borderId="8" xfId="0" applyNumberFormat="1" applyBorder="1" applyAlignment="1">
      <alignment horizontal="right" vertical="center" wrapText="1"/>
    </xf>
    <xf numFmtId="188" fontId="0" fillId="4" borderId="8" xfId="0" applyNumberFormat="1" applyFill="1" applyBorder="1" applyAlignment="1">
      <alignment horizontal="right" vertical="center" wrapText="1"/>
    </xf>
    <xf numFmtId="190" fontId="0" fillId="0" borderId="8" xfId="0" applyNumberFormat="1" applyBorder="1" applyAlignment="1">
      <alignment horizontal="right" vertical="center" wrapText="1"/>
    </xf>
    <xf numFmtId="2" fontId="0" fillId="0" borderId="8" xfId="0" applyNumberForma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191" fontId="0" fillId="0" borderId="9" xfId="0" applyNumberFormat="1" applyBorder="1" applyAlignment="1">
      <alignment horizontal="right" vertical="center" wrapText="1"/>
    </xf>
    <xf numFmtId="188" fontId="0" fillId="0" borderId="9" xfId="0" applyNumberFormat="1" applyBorder="1" applyAlignment="1">
      <alignment horizontal="right" vertical="center" wrapText="1"/>
    </xf>
    <xf numFmtId="188" fontId="0" fillId="4" borderId="9" xfId="0" applyNumberFormat="1" applyFill="1" applyBorder="1" applyAlignment="1">
      <alignment horizontal="right" vertical="center" wrapText="1"/>
    </xf>
    <xf numFmtId="190" fontId="0" fillId="0" borderId="9" xfId="0" applyNumberFormat="1" applyBorder="1" applyAlignment="1">
      <alignment horizontal="right" vertical="center" wrapText="1"/>
    </xf>
    <xf numFmtId="2" fontId="0" fillId="0" borderId="9" xfId="0" applyNumberFormat="1" applyBorder="1" applyAlignment="1">
      <alignment horizontal="right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right" vertical="center" wrapText="1"/>
    </xf>
    <xf numFmtId="1" fontId="0" fillId="3" borderId="7" xfId="0" applyNumberFormat="1" applyFill="1" applyBorder="1" applyAlignment="1">
      <alignment horizontal="right" vertical="center" wrapText="1"/>
    </xf>
    <xf numFmtId="1" fontId="0" fillId="3" borderId="9" xfId="0" applyNumberForma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2" fontId="0" fillId="3" borderId="1" xfId="0" applyNumberFormat="1" applyFill="1" applyBorder="1" applyAlignment="1">
      <alignment horizontal="right" vertical="center" wrapText="1"/>
    </xf>
    <xf numFmtId="2" fontId="0" fillId="3" borderId="7" xfId="0" applyNumberFormat="1" applyFill="1" applyBorder="1" applyAlignment="1">
      <alignment horizontal="right" vertical="center" wrapText="1"/>
    </xf>
    <xf numFmtId="2" fontId="0" fillId="10" borderId="1" xfId="0" applyNumberFormat="1" applyFill="1" applyBorder="1" applyAlignment="1">
      <alignment horizontal="right" vertical="center" wrapText="1"/>
    </xf>
    <xf numFmtId="2" fontId="0" fillId="10" borderId="7" xfId="0" applyNumberFormat="1" applyFill="1" applyBorder="1" applyAlignment="1">
      <alignment horizontal="right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2" fontId="0" fillId="10" borderId="9" xfId="0" applyNumberFormat="1" applyFill="1" applyBorder="1" applyAlignment="1">
      <alignment horizontal="right" vertical="center" wrapText="1"/>
    </xf>
    <xf numFmtId="2" fontId="0" fillId="3" borderId="9" xfId="0" applyNumberForma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15" xfId="0" applyFill="1" applyBorder="1" applyAlignment="1">
      <alignment horizontal="center" vertical="center" wrapText="1"/>
    </xf>
    <xf numFmtId="2" fontId="0" fillId="3" borderId="16" xfId="0" applyNumberFormat="1" applyFill="1" applyBorder="1" applyAlignment="1">
      <alignment horizontal="right" vertical="center" wrapText="1"/>
    </xf>
    <xf numFmtId="2" fontId="0" fillId="3" borderId="17" xfId="0" applyNumberFormat="1" applyFill="1" applyBorder="1" applyAlignment="1">
      <alignment horizontal="right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1" fontId="0" fillId="3" borderId="8" xfId="0" applyNumberFormat="1" applyFill="1" applyBorder="1" applyAlignment="1">
      <alignment horizontal="right" vertical="center" wrapText="1"/>
    </xf>
    <xf numFmtId="2" fontId="0" fillId="10" borderId="8" xfId="0" applyNumberFormat="1" applyFill="1" applyBorder="1" applyAlignment="1">
      <alignment horizontal="right" vertical="center" wrapText="1"/>
    </xf>
    <xf numFmtId="2" fontId="0" fillId="3" borderId="8" xfId="0" applyNumberFormat="1" applyFill="1" applyBorder="1" applyAlignment="1">
      <alignment horizontal="right" vertical="center" wrapText="1"/>
    </xf>
    <xf numFmtId="2" fontId="0" fillId="3" borderId="18" xfId="0" applyNumberFormat="1" applyFill="1" applyBorder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2" fontId="0" fillId="10" borderId="2" xfId="0" applyNumberFormat="1" applyFill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90" fontId="0" fillId="0" borderId="2" xfId="0" applyNumberFormat="1" applyFill="1" applyBorder="1" applyAlignment="1">
      <alignment horizontal="center" vertical="center" wrapText="1"/>
    </xf>
    <xf numFmtId="188" fontId="0" fillId="0" borderId="2" xfId="0" applyNumberFormat="1" applyFill="1" applyBorder="1" applyAlignment="1">
      <alignment horizontal="center" vertical="center" wrapText="1"/>
    </xf>
    <xf numFmtId="0" fontId="0" fillId="10" borderId="19" xfId="0" applyFill="1" applyBorder="1" applyAlignment="1">
      <alignment horizontal="center" vertical="center" wrapText="1"/>
    </xf>
    <xf numFmtId="0" fontId="0" fillId="10" borderId="16" xfId="0" applyFill="1" applyBorder="1" applyAlignment="1">
      <alignment horizontal="center" vertical="center" wrapText="1"/>
    </xf>
    <xf numFmtId="0" fontId="0" fillId="10" borderId="17" xfId="0" applyFill="1" applyBorder="1" applyAlignment="1">
      <alignment horizontal="center" vertical="center" wrapText="1"/>
    </xf>
    <xf numFmtId="0" fontId="0" fillId="10" borderId="21" xfId="0" applyFill="1" applyBorder="1" applyAlignment="1">
      <alignment horizontal="center" vertical="center" wrapText="1"/>
    </xf>
    <xf numFmtId="0" fontId="0" fillId="1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2" fontId="0" fillId="0" borderId="24" xfId="0" applyNumberFormat="1" applyFill="1" applyBorder="1" applyAlignment="1">
      <alignment horizontal="right" vertical="center" wrapText="1"/>
    </xf>
    <xf numFmtId="2" fontId="0" fillId="0" borderId="25" xfId="0" applyNumberFormat="1" applyFill="1" applyBorder="1" applyAlignment="1">
      <alignment horizontal="right" vertical="center" wrapText="1"/>
    </xf>
    <xf numFmtId="2" fontId="0" fillId="0" borderId="20" xfId="0" applyNumberFormat="1" applyFill="1" applyBorder="1" applyAlignment="1">
      <alignment horizontal="center" vertical="center" wrapText="1"/>
    </xf>
    <xf numFmtId="2" fontId="0" fillId="0" borderId="26" xfId="0" applyNumberFormat="1" applyFill="1" applyBorder="1" applyAlignment="1">
      <alignment horizontal="right" vertical="center" wrapText="1"/>
    </xf>
    <xf numFmtId="188" fontId="0" fillId="3" borderId="1" xfId="0" applyNumberFormat="1" applyFill="1" applyBorder="1" applyAlignment="1">
      <alignment horizontal="right" vertical="center" wrapText="1"/>
    </xf>
    <xf numFmtId="2" fontId="0" fillId="0" borderId="1" xfId="0" applyNumberFormat="1" applyBorder="1" applyAlignment="1">
      <alignment vertical="center" wrapText="1"/>
    </xf>
    <xf numFmtId="2" fontId="0" fillId="3" borderId="1" xfId="0" applyNumberFormat="1" applyFill="1" applyBorder="1" applyAlignment="1">
      <alignment/>
    </xf>
    <xf numFmtId="2" fontId="0" fillId="9" borderId="7" xfId="0" applyNumberFormat="1" applyFill="1" applyBorder="1" applyAlignment="1">
      <alignment horizontal="right" vertical="center" wrapText="1"/>
    </xf>
    <xf numFmtId="2" fontId="0" fillId="9" borderId="1" xfId="0" applyNumberFormat="1" applyFill="1" applyBorder="1" applyAlignment="1">
      <alignment vertical="center" wrapText="1"/>
    </xf>
    <xf numFmtId="190" fontId="0" fillId="3" borderId="1" xfId="0" applyNumberFormat="1" applyFill="1" applyBorder="1" applyAlignment="1">
      <alignment/>
    </xf>
    <xf numFmtId="190" fontId="0" fillId="11" borderId="1" xfId="0" applyNumberFormat="1" applyFill="1" applyBorder="1" applyAlignment="1">
      <alignment/>
    </xf>
    <xf numFmtId="190" fontId="0" fillId="0" borderId="1" xfId="0" applyNumberFormat="1" applyBorder="1" applyAlignment="1">
      <alignment wrapText="1"/>
    </xf>
    <xf numFmtId="0" fontId="0" fillId="12" borderId="1" xfId="0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right" vertical="center" wrapText="1"/>
    </xf>
    <xf numFmtId="2" fontId="0" fillId="0" borderId="18" xfId="0" applyNumberFormat="1" applyFill="1" applyBorder="1" applyAlignment="1">
      <alignment horizontal="right" vertical="center" wrapText="1"/>
    </xf>
    <xf numFmtId="2" fontId="0" fillId="0" borderId="22" xfId="0" applyNumberFormat="1" applyFill="1" applyBorder="1" applyAlignment="1">
      <alignment horizontal="right" vertical="center" wrapText="1"/>
    </xf>
    <xf numFmtId="0" fontId="0" fillId="9" borderId="1" xfId="0" applyFill="1" applyBorder="1" applyAlignment="1">
      <alignment horizontal="center" wrapText="1"/>
    </xf>
    <xf numFmtId="0" fontId="0" fillId="9" borderId="1" xfId="0" applyFill="1" applyBorder="1" applyAlignment="1">
      <alignment horizontal="center"/>
    </xf>
    <xf numFmtId="0" fontId="0" fillId="8" borderId="1" xfId="0" applyFill="1" applyBorder="1" applyAlignment="1">
      <alignment horizontal="center" wrapText="1"/>
    </xf>
    <xf numFmtId="0" fontId="0" fillId="8" borderId="1" xfId="0" applyFill="1" applyBorder="1" applyAlignment="1">
      <alignment horizontal="center"/>
    </xf>
    <xf numFmtId="2" fontId="0" fillId="12" borderId="1" xfId="0" applyNumberFormat="1" applyFill="1" applyBorder="1" applyAlignment="1">
      <alignment horizontal="center" vertical="center" wrapText="1"/>
    </xf>
    <xf numFmtId="2" fontId="0" fillId="10" borderId="1" xfId="0" applyNumberForma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center"/>
    </xf>
    <xf numFmtId="188" fontId="0" fillId="4" borderId="1" xfId="0" applyNumberFormat="1" applyFill="1" applyBorder="1" applyAlignment="1">
      <alignment vertical="center"/>
    </xf>
    <xf numFmtId="190" fontId="0" fillId="3" borderId="1" xfId="0" applyNumberFormat="1" applyFill="1" applyBorder="1" applyAlignment="1">
      <alignment horizontal="center" vertical="center" wrapText="1"/>
    </xf>
    <xf numFmtId="190" fontId="0" fillId="3" borderId="1" xfId="0" applyNumberFormat="1" applyFill="1" applyBorder="1" applyAlignment="1">
      <alignment vertical="center"/>
    </xf>
    <xf numFmtId="190" fontId="0" fillId="3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/>
    </xf>
    <xf numFmtId="190" fontId="0" fillId="0" borderId="27" xfId="0" applyNumberFormat="1" applyBorder="1" applyAlignment="1">
      <alignment/>
    </xf>
    <xf numFmtId="190" fontId="0" fillId="0" borderId="27" xfId="0" applyNumberFormat="1" applyFill="1" applyBorder="1" applyAlignment="1">
      <alignment horizontal="right" vertical="center"/>
    </xf>
    <xf numFmtId="190" fontId="0" fillId="0" borderId="28" xfId="0" applyNumberFormat="1" applyFill="1" applyBorder="1" applyAlignment="1">
      <alignment horizontal="right" vertical="center"/>
    </xf>
    <xf numFmtId="190" fontId="0" fillId="3" borderId="6" xfId="0" applyNumberFormat="1" applyFill="1" applyBorder="1" applyAlignment="1">
      <alignment horizontal="right" vertical="center"/>
    </xf>
    <xf numFmtId="190" fontId="0" fillId="0" borderId="29" xfId="0" applyNumberFormat="1" applyBorder="1" applyAlignment="1">
      <alignment/>
    </xf>
    <xf numFmtId="0" fontId="0" fillId="9" borderId="4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190" fontId="0" fillId="0" borderId="29" xfId="0" applyNumberFormat="1" applyFill="1" applyBorder="1" applyAlignment="1">
      <alignment/>
    </xf>
    <xf numFmtId="190" fontId="0" fillId="11" borderId="29" xfId="0" applyNumberFormat="1" applyFill="1" applyBorder="1" applyAlignment="1">
      <alignment/>
    </xf>
    <xf numFmtId="190" fontId="0" fillId="11" borderId="29" xfId="0" applyNumberFormat="1" applyFill="1" applyBorder="1" applyAlignment="1">
      <alignment horizontal="right" vertical="center"/>
    </xf>
    <xf numFmtId="190" fontId="0" fillId="11" borderId="26" xfId="0" applyNumberFormat="1" applyFill="1" applyBorder="1" applyAlignment="1">
      <alignment horizontal="right" vertical="center"/>
    </xf>
    <xf numFmtId="1" fontId="0" fillId="0" borderId="1" xfId="0" applyNumberFormat="1" applyBorder="1" applyAlignment="1">
      <alignment horizontal="center"/>
    </xf>
    <xf numFmtId="1" fontId="0" fillId="0" borderId="30" xfId="0" applyNumberFormat="1" applyFill="1" applyBorder="1" applyAlignment="1">
      <alignment horizontal="center"/>
    </xf>
    <xf numFmtId="190" fontId="0" fillId="0" borderId="27" xfId="0" applyNumberFormat="1" applyFill="1" applyBorder="1" applyAlignment="1">
      <alignment/>
    </xf>
    <xf numFmtId="1" fontId="0" fillId="0" borderId="7" xfId="0" applyNumberFormat="1" applyFill="1" applyBorder="1" applyAlignment="1">
      <alignment horizontal="right" vertical="center" wrapText="1"/>
    </xf>
    <xf numFmtId="1" fontId="0" fillId="0" borderId="1" xfId="0" applyNumberFormat="1" applyFill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2" fontId="0" fillId="0" borderId="1" xfId="0" applyNumberFormat="1" applyFill="1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188" fontId="0" fillId="0" borderId="1" xfId="0" applyNumberFormat="1" applyFill="1" applyBorder="1" applyAlignment="1">
      <alignment horizontal="right" vertical="center" wrapText="1"/>
    </xf>
    <xf numFmtId="188" fontId="0" fillId="0" borderId="7" xfId="0" applyNumberFormat="1" applyFill="1" applyBorder="1" applyAlignment="1">
      <alignment horizontal="right" vertical="center" wrapText="1"/>
    </xf>
    <xf numFmtId="49" fontId="0" fillId="1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vertical="center"/>
    </xf>
    <xf numFmtId="2" fontId="0" fillId="10" borderId="1" xfId="0" applyNumberFormat="1" applyFill="1" applyBorder="1" applyAlignment="1">
      <alignment vertical="center"/>
    </xf>
    <xf numFmtId="2" fontId="0" fillId="3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2" fontId="0" fillId="9" borderId="1" xfId="0" applyNumberFormat="1" applyFill="1" applyBorder="1" applyAlignment="1">
      <alignment vertical="center"/>
    </xf>
    <xf numFmtId="1" fontId="0" fillId="0" borderId="1" xfId="0" applyNumberFormat="1" applyFill="1" applyBorder="1" applyAlignment="1">
      <alignment vertical="center"/>
    </xf>
    <xf numFmtId="188" fontId="0" fillId="0" borderId="1" xfId="0" applyNumberFormat="1" applyFill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vertical="center"/>
    </xf>
    <xf numFmtId="2" fontId="0" fillId="11" borderId="1" xfId="0" applyNumberFormat="1" applyFill="1" applyBorder="1" applyAlignment="1">
      <alignment/>
    </xf>
    <xf numFmtId="0" fontId="0" fillId="9" borderId="29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top"/>
    </xf>
    <xf numFmtId="2" fontId="0" fillId="4" borderId="27" xfId="0" applyNumberFormat="1" applyFill="1" applyBorder="1" applyAlignment="1">
      <alignment horizontal="center" vertical="top"/>
    </xf>
    <xf numFmtId="0" fontId="0" fillId="4" borderId="30" xfId="0" applyFill="1" applyBorder="1" applyAlignment="1">
      <alignment horizontal="center" vertical="top"/>
    </xf>
    <xf numFmtId="190" fontId="0" fillId="3" borderId="1" xfId="0" applyNumberFormat="1" applyFill="1" applyBorder="1" applyAlignment="1">
      <alignment horizontal="center" vertical="top"/>
    </xf>
    <xf numFmtId="2" fontId="0" fillId="0" borderId="10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2" fontId="0" fillId="4" borderId="30" xfId="0" applyNumberFormat="1" applyFill="1" applyBorder="1" applyAlignment="1">
      <alignment horizontal="center" vertical="top"/>
    </xf>
    <xf numFmtId="2" fontId="0" fillId="0" borderId="12" xfId="0" applyNumberFormat="1" applyBorder="1" applyAlignment="1">
      <alignment horizontal="center" vertical="top"/>
    </xf>
    <xf numFmtId="2" fontId="0" fillId="0" borderId="29" xfId="0" applyNumberFormat="1" applyBorder="1" applyAlignment="1">
      <alignment horizontal="center" vertical="top"/>
    </xf>
    <xf numFmtId="2" fontId="0" fillId="0" borderId="8" xfId="0" applyNumberFormat="1" applyBorder="1" applyAlignment="1">
      <alignment horizontal="center" vertical="top"/>
    </xf>
    <xf numFmtId="1" fontId="0" fillId="4" borderId="3" xfId="0" applyNumberFormat="1" applyFill="1" applyBorder="1" applyAlignment="1">
      <alignment horizontal="center" vertical="top"/>
    </xf>
    <xf numFmtId="1" fontId="0" fillId="0" borderId="3" xfId="0" applyNumberFormat="1" applyFill="1" applyBorder="1" applyAlignment="1">
      <alignment horizontal="center"/>
    </xf>
    <xf numFmtId="190" fontId="0" fillId="4" borderId="3" xfId="0" applyNumberFormat="1" applyFill="1" applyBorder="1" applyAlignment="1">
      <alignment/>
    </xf>
    <xf numFmtId="190" fontId="0" fillId="0" borderId="3" xfId="0" applyNumberFormat="1" applyBorder="1" applyAlignment="1">
      <alignment/>
    </xf>
    <xf numFmtId="1" fontId="0" fillId="4" borderId="1" xfId="0" applyNumberFormat="1" applyFill="1" applyBorder="1" applyAlignment="1">
      <alignment horizontal="center" vertical="top"/>
    </xf>
    <xf numFmtId="2" fontId="0" fillId="3" borderId="29" xfId="0" applyNumberFormat="1" applyFill="1" applyBorder="1" applyAlignment="1">
      <alignment horizontal="center" vertical="top"/>
    </xf>
    <xf numFmtId="190" fontId="0" fillId="3" borderId="8" xfId="0" applyNumberFormat="1" applyFill="1" applyBorder="1" applyAlignment="1">
      <alignment horizontal="center" vertical="top"/>
    </xf>
    <xf numFmtId="0" fontId="0" fillId="9" borderId="2" xfId="0" applyFill="1" applyBorder="1" applyAlignment="1">
      <alignment horizontal="center" vertical="center" wrapText="1"/>
    </xf>
    <xf numFmtId="2" fontId="0" fillId="4" borderId="10" xfId="0" applyNumberFormat="1" applyFill="1" applyBorder="1" applyAlignment="1">
      <alignment horizontal="center" vertical="top"/>
    </xf>
    <xf numFmtId="2" fontId="0" fillId="4" borderId="1" xfId="0" applyNumberFormat="1" applyFill="1" applyBorder="1" applyAlignment="1">
      <alignment horizontal="center" vertical="top"/>
    </xf>
    <xf numFmtId="191" fontId="0" fillId="13" borderId="1" xfId="0" applyNumberFormat="1" applyFill="1" applyBorder="1" applyAlignment="1">
      <alignment/>
    </xf>
    <xf numFmtId="190" fontId="0" fillId="3" borderId="27" xfId="0" applyNumberFormat="1" applyFill="1" applyBorder="1" applyAlignment="1">
      <alignment/>
    </xf>
    <xf numFmtId="190" fontId="0" fillId="0" borderId="1" xfId="0" applyNumberFormat="1" applyBorder="1" applyAlignment="1">
      <alignment horizontal="center" vertical="top"/>
    </xf>
    <xf numFmtId="190" fontId="0" fillId="13" borderId="27" xfId="0" applyNumberFormat="1" applyFill="1" applyBorder="1" applyAlignment="1">
      <alignment horizontal="right" vertical="center"/>
    </xf>
    <xf numFmtId="191" fontId="0" fillId="11" borderId="27" xfId="0" applyNumberFormat="1" applyFill="1" applyBorder="1" applyAlignment="1">
      <alignment/>
    </xf>
    <xf numFmtId="191" fontId="0" fillId="11" borderId="1" xfId="0" applyNumberFormat="1" applyFill="1" applyBorder="1" applyAlignment="1">
      <alignment/>
    </xf>
    <xf numFmtId="190" fontId="0" fillId="13" borderId="29" xfId="0" applyNumberFormat="1" applyFill="1" applyBorder="1" applyAlignment="1">
      <alignment/>
    </xf>
    <xf numFmtId="190" fontId="0" fillId="11" borderId="27" xfId="0" applyNumberFormat="1" applyFill="1" applyBorder="1" applyAlignment="1">
      <alignment/>
    </xf>
    <xf numFmtId="190" fontId="0" fillId="13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I23" sqref="I23"/>
    </sheetView>
  </sheetViews>
  <sheetFormatPr defaultColWidth="9.140625" defaultRowHeight="12.75"/>
  <cols>
    <col min="1" max="1" width="19.28125" style="0" customWidth="1"/>
    <col min="2" max="2" width="13.8515625" style="0" customWidth="1"/>
    <col min="3" max="3" width="9.7109375" style="0" customWidth="1"/>
    <col min="4" max="4" width="7.8515625" style="0" customWidth="1"/>
    <col min="5" max="5" width="7.421875" style="0" customWidth="1"/>
    <col min="6" max="6" width="7.57421875" style="0" customWidth="1"/>
    <col min="7" max="7" width="9.00390625" style="0" customWidth="1"/>
    <col min="8" max="8" width="3.421875" style="0" customWidth="1"/>
    <col min="9" max="9" width="8.8515625" style="0" customWidth="1"/>
    <col min="10" max="10" width="8.28125" style="0" customWidth="1"/>
    <col min="11" max="11" width="14.57421875" style="0" customWidth="1"/>
    <col min="12" max="12" width="7.57421875" style="0" customWidth="1"/>
    <col min="13" max="13" width="11.28125" style="0" customWidth="1"/>
    <col min="15" max="15" width="11.7109375" style="0" customWidth="1"/>
    <col min="16" max="16" width="12.28125" style="0" customWidth="1"/>
  </cols>
  <sheetData>
    <row r="1" spans="1:11" ht="51">
      <c r="A1" s="27"/>
      <c r="B1" s="27" t="s">
        <v>135</v>
      </c>
      <c r="C1" s="27" t="s">
        <v>127</v>
      </c>
      <c r="D1" s="27" t="s">
        <v>128</v>
      </c>
      <c r="E1" s="27" t="s">
        <v>136</v>
      </c>
      <c r="F1" s="27" t="s">
        <v>137</v>
      </c>
      <c r="G1" s="27" t="s">
        <v>151</v>
      </c>
      <c r="H1" s="27"/>
      <c r="I1" s="27" t="s">
        <v>94</v>
      </c>
      <c r="J1" s="27" t="s">
        <v>88</v>
      </c>
      <c r="K1" s="27" t="s">
        <v>126</v>
      </c>
    </row>
    <row r="2" spans="1:11" ht="12.75">
      <c r="A2" s="172" t="s">
        <v>138</v>
      </c>
      <c r="B2" s="133">
        <v>-8.06</v>
      </c>
      <c r="C2" s="130"/>
      <c r="D2" s="175"/>
      <c r="E2" s="130">
        <v>21</v>
      </c>
      <c r="F2" s="130">
        <v>12</v>
      </c>
      <c r="G2" s="27"/>
      <c r="H2" s="27"/>
      <c r="I2" s="179">
        <f>B3-B2</f>
        <v>1.5</v>
      </c>
      <c r="J2" s="174">
        <v>0</v>
      </c>
      <c r="K2" s="27"/>
    </row>
    <row r="3" spans="1:11" ht="12.75">
      <c r="A3" s="173" t="s">
        <v>139</v>
      </c>
      <c r="B3" s="91">
        <f>B2+1.5</f>
        <v>-6.5600000000000005</v>
      </c>
      <c r="C3" s="171"/>
      <c r="D3" s="176"/>
      <c r="E3" s="180">
        <v>4.8</v>
      </c>
      <c r="F3" s="179">
        <f>F8</f>
        <v>8</v>
      </c>
      <c r="G3" s="178" t="s">
        <v>129</v>
      </c>
      <c r="H3" s="179"/>
      <c r="I3" s="181">
        <f>B5-B3</f>
        <v>6.500000000000001</v>
      </c>
      <c r="J3" s="182">
        <f>J2+I2</f>
        <v>1.5</v>
      </c>
      <c r="K3" s="182"/>
    </row>
    <row r="4" spans="1:11" ht="12.75">
      <c r="A4" s="173" t="s">
        <v>140</v>
      </c>
      <c r="B4" s="91">
        <v>-0.06</v>
      </c>
      <c r="C4" s="171"/>
      <c r="D4" s="176"/>
      <c r="E4" s="179">
        <f>E8</f>
        <v>1.5</v>
      </c>
      <c r="F4" s="179">
        <f>F8</f>
        <v>8</v>
      </c>
      <c r="G4" s="183"/>
      <c r="H4" s="179"/>
      <c r="I4" s="181"/>
      <c r="J4" s="182"/>
      <c r="K4" s="182"/>
    </row>
    <row r="5" spans="1:11" ht="12.75">
      <c r="A5" s="173" t="s">
        <v>146</v>
      </c>
      <c r="B5" s="91">
        <v>-0.06</v>
      </c>
      <c r="C5" s="171">
        <v>20000</v>
      </c>
      <c r="D5" s="176">
        <v>20</v>
      </c>
      <c r="E5" s="179"/>
      <c r="F5" s="179"/>
      <c r="G5" s="183"/>
      <c r="H5" s="179"/>
      <c r="I5" s="181">
        <f>B6-B5</f>
        <v>0.12</v>
      </c>
      <c r="J5" s="182">
        <f>J3+I3</f>
        <v>8</v>
      </c>
      <c r="K5" s="182"/>
    </row>
    <row r="6" spans="1:11" ht="12.75">
      <c r="A6" s="173" t="s">
        <v>147</v>
      </c>
      <c r="B6" s="91">
        <v>0.06</v>
      </c>
      <c r="C6" s="171">
        <v>20000</v>
      </c>
      <c r="D6" s="176">
        <v>20</v>
      </c>
      <c r="E6" s="179"/>
      <c r="F6" s="179"/>
      <c r="G6" s="183"/>
      <c r="H6" s="179"/>
      <c r="I6" s="181">
        <f>B7-B6</f>
        <v>0.06</v>
      </c>
      <c r="J6" s="182">
        <f>J5+I5</f>
        <v>8.12</v>
      </c>
      <c r="K6" s="182"/>
    </row>
    <row r="7" spans="1:11" ht="12.75">
      <c r="A7" s="172" t="s">
        <v>145</v>
      </c>
      <c r="B7" s="91">
        <v>0.12</v>
      </c>
      <c r="C7" s="171">
        <v>1000</v>
      </c>
      <c r="D7" s="176">
        <v>18</v>
      </c>
      <c r="G7" s="188"/>
      <c r="H7" s="179"/>
      <c r="I7" s="181">
        <f>B9-B7</f>
        <v>1.33</v>
      </c>
      <c r="J7" s="182">
        <f>J6+I6</f>
        <v>8.18</v>
      </c>
      <c r="K7" s="182">
        <f aca="true" t="shared" si="0" ref="K7:K20">B7-0.12</f>
        <v>0</v>
      </c>
    </row>
    <row r="8" spans="1:11" ht="12.75">
      <c r="A8" s="172" t="s">
        <v>141</v>
      </c>
      <c r="B8" s="91">
        <v>0.12</v>
      </c>
      <c r="C8" s="171"/>
      <c r="D8" s="176"/>
      <c r="E8" s="189">
        <v>1.5</v>
      </c>
      <c r="F8" s="189">
        <v>8</v>
      </c>
      <c r="G8" s="178" t="s">
        <v>152</v>
      </c>
      <c r="H8" s="179"/>
      <c r="I8" s="181">
        <f>B10-B8</f>
        <v>3.32</v>
      </c>
      <c r="J8" s="182">
        <f>J7+I7</f>
        <v>9.51</v>
      </c>
      <c r="K8" s="182">
        <f>B8-0.12</f>
        <v>0</v>
      </c>
    </row>
    <row r="9" spans="1:11" ht="12.75">
      <c r="A9" s="173" t="s">
        <v>144</v>
      </c>
      <c r="B9" s="91">
        <v>1.45</v>
      </c>
      <c r="C9" s="171">
        <v>17000</v>
      </c>
      <c r="D9" s="176">
        <v>43.2</v>
      </c>
      <c r="E9" s="181">
        <f>MIN(E14,E8+(E14-E8)*K9/K13)</f>
        <v>1.6529321579149099</v>
      </c>
      <c r="F9" s="181">
        <f>MIN(F14,F8+(F14-F8)*K9/K13)</f>
        <v>8.254886929858182</v>
      </c>
      <c r="G9" s="178" t="s">
        <v>152</v>
      </c>
      <c r="H9" s="179"/>
      <c r="I9" s="181">
        <f aca="true" t="shared" si="1" ref="I9:I19">B10-B9</f>
        <v>1.99</v>
      </c>
      <c r="J9" s="182">
        <f>J7+I7</f>
        <v>9.51</v>
      </c>
      <c r="K9" s="182">
        <f t="shared" si="0"/>
        <v>1.33</v>
      </c>
    </row>
    <row r="10" spans="1:11" ht="12.75">
      <c r="A10" s="173" t="s">
        <v>144</v>
      </c>
      <c r="B10" s="91">
        <v>3.44</v>
      </c>
      <c r="C10" s="171">
        <v>1000</v>
      </c>
      <c r="D10" s="176">
        <v>25</v>
      </c>
      <c r="E10" s="181">
        <f>MIN(E14,E8+(E14-E8)*K10/K13)</f>
        <v>1.8817554618627828</v>
      </c>
      <c r="F10" s="181">
        <f>MIN(F14,F8+(F14-F8)*K10/K13)</f>
        <v>8.636259103104639</v>
      </c>
      <c r="G10" s="178" t="s">
        <v>152</v>
      </c>
      <c r="H10" s="179"/>
      <c r="I10" s="181">
        <f t="shared" si="1"/>
        <v>2.03</v>
      </c>
      <c r="J10" s="182">
        <f aca="true" t="shared" si="2" ref="J10:J20">J9+I9</f>
        <v>11.5</v>
      </c>
      <c r="K10" s="182">
        <f t="shared" si="0"/>
        <v>3.32</v>
      </c>
    </row>
    <row r="11" spans="1:11" ht="12.75">
      <c r="A11" s="173" t="s">
        <v>144</v>
      </c>
      <c r="B11" s="91">
        <v>5.47</v>
      </c>
      <c r="C11" s="171">
        <v>12000</v>
      </c>
      <c r="D11" s="176">
        <v>67.2</v>
      </c>
      <c r="E11" s="181">
        <f>MIN(E14,E8+(E14-E8)*K11/K13)</f>
        <v>2.1151782292065926</v>
      </c>
      <c r="F11" s="181">
        <f>MIN(F14,F8+(F14-F8)*K11/K13)</f>
        <v>9.025297048677654</v>
      </c>
      <c r="G11" s="178" t="s">
        <v>130</v>
      </c>
      <c r="H11" s="179"/>
      <c r="I11" s="181">
        <f t="shared" si="1"/>
        <v>7.740000000000001</v>
      </c>
      <c r="J11" s="182">
        <f t="shared" si="2"/>
        <v>13.53</v>
      </c>
      <c r="K11" s="182">
        <f t="shared" si="0"/>
        <v>5.35</v>
      </c>
    </row>
    <row r="12" spans="1:11" ht="12.75">
      <c r="A12" s="173" t="s">
        <v>142</v>
      </c>
      <c r="B12" s="91">
        <v>13.21</v>
      </c>
      <c r="C12" s="171">
        <v>7667</v>
      </c>
      <c r="D12" s="176">
        <v>77.9</v>
      </c>
      <c r="E12" s="181">
        <f>MIN(E14,E8+(E14-E8)*K12/K13)</f>
        <v>3.005174396320429</v>
      </c>
      <c r="F12" s="181">
        <f>MIN(F14,F8+(F14-F8)*K12/K13)</f>
        <v>10.508623993867381</v>
      </c>
      <c r="G12" s="178" t="s">
        <v>131</v>
      </c>
      <c r="H12" s="179"/>
      <c r="I12" s="181">
        <f t="shared" si="1"/>
        <v>13</v>
      </c>
      <c r="J12" s="182">
        <f t="shared" si="2"/>
        <v>21.27</v>
      </c>
      <c r="K12" s="182">
        <f t="shared" si="0"/>
        <v>13.090000000000002</v>
      </c>
    </row>
    <row r="13" spans="1:11" ht="12.75">
      <c r="A13" s="173" t="s">
        <v>149</v>
      </c>
      <c r="B13" s="132">
        <v>26.21</v>
      </c>
      <c r="C13" s="170"/>
      <c r="D13" s="177"/>
      <c r="E13" s="179">
        <f>MIN(E14,E8+(E14-E8)*K13/K13)</f>
        <v>4.5</v>
      </c>
      <c r="F13" s="179">
        <f>MIN(F14,F8+(F14-F8)*K13/K13)</f>
        <v>13</v>
      </c>
      <c r="G13" s="178" t="s">
        <v>132</v>
      </c>
      <c r="H13" s="179"/>
      <c r="I13" s="181">
        <f t="shared" si="1"/>
        <v>49.1</v>
      </c>
      <c r="J13" s="182">
        <f t="shared" si="2"/>
        <v>34.269999999999996</v>
      </c>
      <c r="K13" s="182">
        <f t="shared" si="0"/>
        <v>26.09</v>
      </c>
    </row>
    <row r="14" spans="1:11" ht="12.75">
      <c r="A14" s="173" t="s">
        <v>143</v>
      </c>
      <c r="B14" s="92">
        <v>75.31</v>
      </c>
      <c r="C14" s="170">
        <v>1000</v>
      </c>
      <c r="D14" s="177">
        <v>180</v>
      </c>
      <c r="E14" s="184">
        <v>4.5</v>
      </c>
      <c r="F14" s="184">
        <v>13</v>
      </c>
      <c r="G14" s="178"/>
      <c r="H14" s="179"/>
      <c r="I14" s="181">
        <f t="shared" si="1"/>
        <v>48.69</v>
      </c>
      <c r="J14" s="182">
        <f t="shared" si="2"/>
        <v>83.37</v>
      </c>
      <c r="K14" s="182">
        <f t="shared" si="0"/>
        <v>75.19</v>
      </c>
    </row>
    <row r="15" spans="1:11" ht="12.75">
      <c r="A15" s="173" t="s">
        <v>150</v>
      </c>
      <c r="B15" s="184">
        <v>124</v>
      </c>
      <c r="C15" s="185"/>
      <c r="D15" s="186"/>
      <c r="E15" s="182">
        <f>MIN(E14,E8+(E14-E8)*K15/K14)</f>
        <v>4.5</v>
      </c>
      <c r="F15" s="182">
        <f>MIN(13,8+5*K15/K14)</f>
        <v>13</v>
      </c>
      <c r="G15" s="178" t="s">
        <v>131</v>
      </c>
      <c r="H15" s="179"/>
      <c r="I15" s="181">
        <f t="shared" si="1"/>
        <v>15</v>
      </c>
      <c r="J15" s="182">
        <f t="shared" si="2"/>
        <v>132.06</v>
      </c>
      <c r="K15" s="182">
        <f t="shared" si="0"/>
        <v>123.88</v>
      </c>
    </row>
    <row r="16" spans="1:11" ht="25.5">
      <c r="A16" s="172" t="s">
        <v>134</v>
      </c>
      <c r="B16" s="180">
        <v>139</v>
      </c>
      <c r="C16" s="185"/>
      <c r="D16" s="186"/>
      <c r="E16" s="182">
        <v>2</v>
      </c>
      <c r="F16" s="182">
        <v>8</v>
      </c>
      <c r="G16" s="178" t="s">
        <v>131</v>
      </c>
      <c r="H16" s="182"/>
      <c r="I16" s="181">
        <f t="shared" si="1"/>
        <v>12.5</v>
      </c>
      <c r="J16" s="182">
        <f t="shared" si="2"/>
        <v>147.06</v>
      </c>
      <c r="K16" s="182">
        <f t="shared" si="0"/>
        <v>138.88</v>
      </c>
    </row>
    <row r="17" spans="1:11" ht="12.75">
      <c r="A17" s="173" t="s">
        <v>133</v>
      </c>
      <c r="B17" s="180">
        <v>151.5</v>
      </c>
      <c r="C17" s="185"/>
      <c r="D17" s="186"/>
      <c r="E17" s="182">
        <v>1.3</v>
      </c>
      <c r="F17" s="182">
        <v>2.6</v>
      </c>
      <c r="G17" s="178" t="s">
        <v>131</v>
      </c>
      <c r="H17" s="182"/>
      <c r="I17" s="181">
        <f t="shared" si="1"/>
        <v>1.5</v>
      </c>
      <c r="J17" s="182">
        <f t="shared" si="2"/>
        <v>159.56</v>
      </c>
      <c r="K17" s="182">
        <f t="shared" si="0"/>
        <v>151.38</v>
      </c>
    </row>
    <row r="18" spans="1:11" ht="12.75">
      <c r="A18" s="173" t="s">
        <v>148</v>
      </c>
      <c r="B18" s="180">
        <v>153</v>
      </c>
      <c r="C18" s="185"/>
      <c r="D18" s="186"/>
      <c r="E18" s="182">
        <v>1.3</v>
      </c>
      <c r="F18" s="182">
        <v>2.6</v>
      </c>
      <c r="G18" s="187"/>
      <c r="H18" s="182"/>
      <c r="I18" s="181">
        <f t="shared" si="1"/>
        <v>1</v>
      </c>
      <c r="J18" s="182">
        <f t="shared" si="2"/>
        <v>161.06</v>
      </c>
      <c r="K18" s="182">
        <f t="shared" si="0"/>
        <v>152.88</v>
      </c>
    </row>
    <row r="19" spans="1:11" ht="12.75">
      <c r="A19" s="173" t="s">
        <v>4</v>
      </c>
      <c r="B19" s="180">
        <v>154</v>
      </c>
      <c r="C19" s="185"/>
      <c r="D19" s="186"/>
      <c r="E19" s="182">
        <v>1</v>
      </c>
      <c r="F19" s="182">
        <v>2</v>
      </c>
      <c r="G19" s="173"/>
      <c r="H19" s="173"/>
      <c r="I19" s="181">
        <f t="shared" si="1"/>
        <v>2</v>
      </c>
      <c r="J19" s="182">
        <f t="shared" si="2"/>
        <v>162.06</v>
      </c>
      <c r="K19" s="182">
        <f t="shared" si="0"/>
        <v>153.88</v>
      </c>
    </row>
    <row r="20" spans="1:11" ht="12.75">
      <c r="A20" s="173" t="s">
        <v>5</v>
      </c>
      <c r="B20" s="180">
        <v>156</v>
      </c>
      <c r="C20" s="185"/>
      <c r="D20" s="186"/>
      <c r="E20" s="182">
        <v>606</v>
      </c>
      <c r="F20" s="182">
        <v>20</v>
      </c>
      <c r="G20" s="182"/>
      <c r="H20" s="182"/>
      <c r="I20" s="173"/>
      <c r="J20" s="182">
        <f t="shared" si="2"/>
        <v>164.06</v>
      </c>
      <c r="K20" s="182">
        <f t="shared" si="0"/>
        <v>155.88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C1" sqref="C1"/>
    </sheetView>
  </sheetViews>
  <sheetFormatPr defaultColWidth="9.140625" defaultRowHeight="12.75"/>
  <cols>
    <col min="1" max="1" width="17.7109375" style="6" customWidth="1"/>
    <col min="2" max="2" width="13.57421875" style="2" customWidth="1"/>
    <col min="3" max="3" width="30.57421875" style="0" customWidth="1"/>
    <col min="4" max="5" width="16.00390625" style="0" customWidth="1"/>
    <col min="6" max="6" width="16.140625" style="0" customWidth="1"/>
    <col min="7" max="7" width="16.28125" style="0" customWidth="1"/>
    <col min="8" max="8" width="16.00390625" style="0" customWidth="1"/>
    <col min="9" max="9" width="13.7109375" style="0" customWidth="1"/>
    <col min="10" max="10" width="13.421875" style="0" customWidth="1"/>
    <col min="11" max="11" width="14.140625" style="0" customWidth="1"/>
    <col min="12" max="16384" width="11.421875" style="0" customWidth="1"/>
  </cols>
  <sheetData>
    <row r="1" spans="1:4" s="21" customFormat="1" ht="25.5">
      <c r="A1" s="22" t="s">
        <v>22</v>
      </c>
      <c r="B1" s="23" t="s">
        <v>8</v>
      </c>
      <c r="C1" s="46" t="s">
        <v>47</v>
      </c>
      <c r="D1" s="21" t="s">
        <v>65</v>
      </c>
    </row>
    <row r="2" spans="1:6" ht="38.25">
      <c r="A2" s="7" t="s">
        <v>0</v>
      </c>
      <c r="B2" s="45">
        <v>0</v>
      </c>
      <c r="C2" s="8" t="s">
        <v>59</v>
      </c>
      <c r="D2" s="1"/>
      <c r="E2" s="1"/>
      <c r="F2" s="1"/>
    </row>
    <row r="3" spans="1:3" s="4" customFormat="1" ht="26.25" customHeight="1">
      <c r="A3" s="7" t="s">
        <v>9</v>
      </c>
      <c r="B3" s="14"/>
      <c r="C3" s="24" t="s">
        <v>60</v>
      </c>
    </row>
    <row r="4" spans="1:6" ht="38.25">
      <c r="A4" s="13" t="s">
        <v>17</v>
      </c>
      <c r="B4" s="12" t="s">
        <v>25</v>
      </c>
      <c r="C4" s="10" t="s">
        <v>58</v>
      </c>
      <c r="E4" s="1"/>
      <c r="F4" s="1"/>
    </row>
    <row r="5" spans="1:6" ht="12.75">
      <c r="A5" s="13" t="s">
        <v>23</v>
      </c>
      <c r="B5" s="47">
        <v>6.5</v>
      </c>
      <c r="C5" s="10" t="s">
        <v>24</v>
      </c>
      <c r="E5" s="1"/>
      <c r="F5" s="1"/>
    </row>
    <row r="6" spans="1:3" ht="12.75">
      <c r="A6" s="9" t="s">
        <v>2</v>
      </c>
      <c r="B6" s="45">
        <v>6.5</v>
      </c>
      <c r="C6" s="8" t="s">
        <v>66</v>
      </c>
    </row>
    <row r="7" spans="1:3" ht="12.75">
      <c r="A7" s="9" t="s">
        <v>3</v>
      </c>
      <c r="B7" s="45">
        <v>6.62</v>
      </c>
      <c r="C7" s="8" t="s">
        <v>66</v>
      </c>
    </row>
    <row r="8" spans="1:4" ht="12.75">
      <c r="A8" s="9" t="s">
        <v>6</v>
      </c>
      <c r="B8" s="45">
        <v>6.68</v>
      </c>
      <c r="C8" s="8" t="s">
        <v>74</v>
      </c>
      <c r="D8" s="25"/>
    </row>
    <row r="9" spans="1:6" ht="28.5">
      <c r="A9" s="13" t="s">
        <v>1</v>
      </c>
      <c r="B9" s="12" t="s">
        <v>40</v>
      </c>
      <c r="C9" s="10" t="s">
        <v>73</v>
      </c>
      <c r="E9" s="1"/>
      <c r="F9" s="1"/>
    </row>
    <row r="10" spans="1:3" ht="12.75">
      <c r="A10" s="9" t="s">
        <v>7</v>
      </c>
      <c r="B10" s="45">
        <v>8.01</v>
      </c>
      <c r="C10" s="8" t="s">
        <v>54</v>
      </c>
    </row>
    <row r="11" spans="1:3" ht="28.5">
      <c r="A11" s="13" t="s">
        <v>1</v>
      </c>
      <c r="B11" s="12" t="s">
        <v>41</v>
      </c>
      <c r="C11" s="10" t="s">
        <v>75</v>
      </c>
    </row>
    <row r="12" spans="1:3" ht="12.75">
      <c r="A12" s="9" t="s">
        <v>18</v>
      </c>
      <c r="B12" s="45">
        <v>10</v>
      </c>
      <c r="C12" s="8" t="s">
        <v>55</v>
      </c>
    </row>
    <row r="13" spans="1:3" ht="28.5">
      <c r="A13" s="13" t="s">
        <v>1</v>
      </c>
      <c r="B13" s="12" t="s">
        <v>42</v>
      </c>
      <c r="C13" s="10" t="s">
        <v>76</v>
      </c>
    </row>
    <row r="14" spans="1:3" ht="12.75">
      <c r="A14" s="9" t="s">
        <v>20</v>
      </c>
      <c r="B14" s="45">
        <v>12.03</v>
      </c>
      <c r="C14" s="8" t="s">
        <v>56</v>
      </c>
    </row>
    <row r="15" spans="1:3" ht="25.5">
      <c r="A15" s="13" t="s">
        <v>1</v>
      </c>
      <c r="B15" s="12" t="s">
        <v>43</v>
      </c>
      <c r="C15" s="10" t="s">
        <v>77</v>
      </c>
    </row>
    <row r="16" spans="1:3" ht="12.75">
      <c r="A16" s="9" t="s">
        <v>19</v>
      </c>
      <c r="B16" s="43">
        <v>19.77</v>
      </c>
      <c r="C16" s="8" t="s">
        <v>57</v>
      </c>
    </row>
    <row r="17" spans="1:3" ht="25.5">
      <c r="A17" s="13" t="s">
        <v>1</v>
      </c>
      <c r="B17" s="12" t="s">
        <v>71</v>
      </c>
      <c r="C17" s="10" t="s">
        <v>78</v>
      </c>
    </row>
    <row r="18" spans="1:3" ht="25.5">
      <c r="A18" s="13" t="s">
        <v>1</v>
      </c>
      <c r="B18" s="12" t="s">
        <v>70</v>
      </c>
      <c r="C18" s="10" t="s">
        <v>79</v>
      </c>
    </row>
    <row r="19" spans="1:3" ht="12.75">
      <c r="A19" s="9" t="s">
        <v>26</v>
      </c>
      <c r="B19" s="45">
        <v>81.87</v>
      </c>
      <c r="C19" s="8" t="s">
        <v>46</v>
      </c>
    </row>
    <row r="20" spans="1:3" ht="25.5">
      <c r="A20" s="13" t="s">
        <v>1</v>
      </c>
      <c r="B20" s="12" t="s">
        <v>72</v>
      </c>
      <c r="C20" s="10" t="s">
        <v>67</v>
      </c>
    </row>
    <row r="21" spans="1:3" ht="25.5">
      <c r="A21" s="13" t="s">
        <v>1</v>
      </c>
      <c r="B21" s="12" t="s">
        <v>69</v>
      </c>
      <c r="C21" s="10" t="s">
        <v>68</v>
      </c>
    </row>
    <row r="22" spans="1:3" ht="25.5">
      <c r="A22" s="13" t="s">
        <v>1</v>
      </c>
      <c r="B22" s="12" t="s">
        <v>45</v>
      </c>
      <c r="C22" s="10" t="s">
        <v>10</v>
      </c>
    </row>
    <row r="23" spans="1:6" ht="25.5">
      <c r="A23" s="13" t="s">
        <v>1</v>
      </c>
      <c r="B23" s="11" t="s">
        <v>44</v>
      </c>
      <c r="C23" s="10" t="s">
        <v>80</v>
      </c>
      <c r="D23" s="1"/>
      <c r="E23" s="1"/>
      <c r="F23" s="1"/>
    </row>
    <row r="24" spans="1:6" ht="25.5">
      <c r="A24" s="9" t="s">
        <v>4</v>
      </c>
      <c r="B24" s="45">
        <v>160.56</v>
      </c>
      <c r="C24" s="8" t="s">
        <v>82</v>
      </c>
      <c r="D24" s="1"/>
      <c r="E24" s="1"/>
      <c r="F24" s="1"/>
    </row>
    <row r="25" spans="1:6" ht="39" customHeight="1">
      <c r="A25" s="13" t="s">
        <v>5</v>
      </c>
      <c r="B25" s="44">
        <v>162.56</v>
      </c>
      <c r="C25" s="10" t="s">
        <v>81</v>
      </c>
      <c r="D25" s="1"/>
      <c r="E25" s="1"/>
      <c r="F25" s="1"/>
    </row>
    <row r="26" spans="1:3" ht="12.75">
      <c r="A26" s="5"/>
      <c r="C26" s="3"/>
    </row>
    <row r="27" spans="1:3" ht="12.75">
      <c r="A27" s="5"/>
      <c r="C27" s="3"/>
    </row>
    <row r="28" spans="1:3" ht="12.75">
      <c r="A28" s="17" t="s">
        <v>12</v>
      </c>
      <c r="B28" s="18"/>
      <c r="C28" s="19" t="s">
        <v>13</v>
      </c>
    </row>
    <row r="29" spans="1:3" ht="38.25">
      <c r="A29" s="20" t="s">
        <v>14</v>
      </c>
      <c r="B29" s="18"/>
      <c r="C29" s="19" t="s">
        <v>15</v>
      </c>
    </row>
    <row r="30" spans="1:3" ht="25.5">
      <c r="A30" s="20" t="s">
        <v>11</v>
      </c>
      <c r="B30" s="18"/>
      <c r="C30" s="19" t="s">
        <v>21</v>
      </c>
    </row>
    <row r="31" spans="1:3" ht="25.5">
      <c r="A31" s="20" t="s">
        <v>5</v>
      </c>
      <c r="B31" s="18"/>
      <c r="C31" s="19" t="s">
        <v>16</v>
      </c>
    </row>
    <row r="32" spans="1:3" ht="12.75">
      <c r="A32" s="16"/>
      <c r="B32" s="15"/>
      <c r="C32" s="15"/>
    </row>
    <row r="33" spans="1:3" ht="12.75">
      <c r="A33" s="16"/>
      <c r="B33" s="15"/>
      <c r="C33" s="15"/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tabSelected="1" workbookViewId="0" topLeftCell="A1">
      <selection activeCell="N10" sqref="N10"/>
    </sheetView>
  </sheetViews>
  <sheetFormatPr defaultColWidth="9.140625" defaultRowHeight="12.75"/>
  <cols>
    <col min="1" max="1" width="7.140625" style="0" customWidth="1"/>
    <col min="2" max="2" width="5.8515625" style="0" customWidth="1"/>
    <col min="3" max="3" width="8.57421875" style="0" customWidth="1"/>
    <col min="4" max="4" width="8.140625" style="0" customWidth="1"/>
    <col min="5" max="5" width="5.421875" style="0" customWidth="1"/>
    <col min="6" max="6" width="7.7109375" style="0" customWidth="1"/>
    <col min="7" max="7" width="7.28125" style="0" customWidth="1"/>
    <col min="8" max="8" width="8.57421875" style="0" customWidth="1"/>
    <col min="9" max="9" width="7.8515625" style="0" customWidth="1"/>
    <col min="10" max="10" width="8.28125" style="0" customWidth="1"/>
    <col min="11" max="11" width="6.8515625" style="0" customWidth="1"/>
    <col min="12" max="12" width="7.8515625" style="0" customWidth="1"/>
    <col min="13" max="13" width="8.140625" style="0" customWidth="1"/>
    <col min="14" max="14" width="7.28125" style="0" customWidth="1"/>
    <col min="15" max="16" width="8.28125" style="0" customWidth="1"/>
    <col min="17" max="17" width="7.28125" style="0" customWidth="1"/>
    <col min="18" max="18" width="8.57421875" style="0" customWidth="1"/>
    <col min="19" max="16384" width="11.421875" style="0" customWidth="1"/>
  </cols>
  <sheetData>
    <row r="1" spans="1:22" s="61" customFormat="1" ht="64.5" thickBot="1">
      <c r="A1" s="94" t="s">
        <v>87</v>
      </c>
      <c r="B1" s="98" t="s">
        <v>29</v>
      </c>
      <c r="C1" s="39" t="s">
        <v>31</v>
      </c>
      <c r="D1" s="38" t="s">
        <v>86</v>
      </c>
      <c r="E1" s="38" t="s">
        <v>85</v>
      </c>
      <c r="F1" s="38" t="s">
        <v>36</v>
      </c>
      <c r="G1" s="38" t="s">
        <v>35</v>
      </c>
      <c r="H1" s="38" t="s">
        <v>39</v>
      </c>
      <c r="I1" s="38" t="s">
        <v>27</v>
      </c>
      <c r="J1" s="38" t="s">
        <v>37</v>
      </c>
      <c r="K1" s="38" t="s">
        <v>37</v>
      </c>
      <c r="L1" s="38" t="s">
        <v>38</v>
      </c>
      <c r="M1" s="38" t="s">
        <v>38</v>
      </c>
      <c r="N1" s="38" t="s">
        <v>30</v>
      </c>
      <c r="O1" s="38" t="s">
        <v>32</v>
      </c>
      <c r="P1" s="38" t="s">
        <v>28</v>
      </c>
      <c r="Q1" s="102" t="s">
        <v>34</v>
      </c>
      <c r="R1" s="120" t="s">
        <v>33</v>
      </c>
      <c r="S1" s="88"/>
      <c r="T1" s="88"/>
      <c r="U1" s="88"/>
      <c r="V1" s="88"/>
    </row>
    <row r="2" spans="1:22" ht="13.5" thickBot="1">
      <c r="A2" s="39"/>
      <c r="B2" s="102"/>
      <c r="C2" s="107"/>
      <c r="D2" s="35"/>
      <c r="E2" s="35"/>
      <c r="F2" s="35"/>
      <c r="G2" s="42"/>
      <c r="H2" s="42"/>
      <c r="I2" s="108">
        <v>8.06</v>
      </c>
      <c r="J2" s="35"/>
      <c r="K2" s="35"/>
      <c r="L2" s="35"/>
      <c r="M2" s="35"/>
      <c r="N2" s="35"/>
      <c r="O2" s="35"/>
      <c r="P2" s="35"/>
      <c r="Q2" s="109"/>
      <c r="R2" s="110"/>
      <c r="S2" s="3"/>
      <c r="T2" s="3"/>
      <c r="U2" s="3"/>
      <c r="V2" s="3"/>
    </row>
    <row r="3" spans="1:22" ht="12.75">
      <c r="A3" s="77">
        <v>1.5</v>
      </c>
      <c r="B3" s="115">
        <v>0.75</v>
      </c>
      <c r="C3" s="121">
        <v>60</v>
      </c>
      <c r="D3" s="83">
        <v>60</v>
      </c>
      <c r="E3" s="83">
        <v>3</v>
      </c>
      <c r="F3" s="66">
        <f>C3/D3</f>
        <v>1</v>
      </c>
      <c r="G3" s="103">
        <f aca="true" t="shared" si="0" ref="G3:G11">60000/E3/F3</f>
        <v>20000</v>
      </c>
      <c r="H3" s="104">
        <v>-0.06</v>
      </c>
      <c r="I3" s="105">
        <f>H3+I2</f>
        <v>8</v>
      </c>
      <c r="J3" s="66">
        <f>E3*F3*M3/360</f>
        <v>0.16666666666666666</v>
      </c>
      <c r="K3" s="66"/>
      <c r="L3" s="67"/>
      <c r="M3" s="68">
        <v>20</v>
      </c>
      <c r="N3" s="69">
        <f>PRODUCT(0.5*(I3+I4),A3,1/3.956)</f>
        <v>3.0561172901921134</v>
      </c>
      <c r="O3" s="69">
        <f aca="true" t="shared" si="1" ref="O3:O11">SUM(B3,N3)</f>
        <v>3.8061172901921134</v>
      </c>
      <c r="P3" s="70">
        <f>PRODUCT(360/C3,O3,D3/E3)-M3/2</f>
        <v>446.7340748230537</v>
      </c>
      <c r="Q3" s="106">
        <f aca="true" t="shared" si="2" ref="Q3:Q10">MOD(P3,360)</f>
        <v>86.73407482305367</v>
      </c>
      <c r="R3" s="125">
        <f>IF(E3&gt;1,PRODUCT(360,O3/C3)," ")</f>
        <v>22.83670374115268</v>
      </c>
      <c r="S3" s="3"/>
      <c r="T3" s="3"/>
      <c r="U3" s="3"/>
      <c r="V3" s="3"/>
    </row>
    <row r="4" spans="1:22" ht="12.75">
      <c r="A4" s="78">
        <v>1.5</v>
      </c>
      <c r="B4" s="116">
        <v>0.75</v>
      </c>
      <c r="C4" s="122">
        <v>60</v>
      </c>
      <c r="D4" s="10">
        <v>60</v>
      </c>
      <c r="E4" s="10">
        <v>3</v>
      </c>
      <c r="F4" s="28">
        <f>C4/D4</f>
        <v>1</v>
      </c>
      <c r="G4" s="85">
        <f t="shared" si="0"/>
        <v>20000</v>
      </c>
      <c r="H4" s="91">
        <v>0.06</v>
      </c>
      <c r="I4" s="89">
        <f>H4+I2</f>
        <v>8.120000000000001</v>
      </c>
      <c r="J4" s="66">
        <f>E4*F4*M4/360</f>
        <v>0.16666666666666666</v>
      </c>
      <c r="K4" s="28"/>
      <c r="L4" s="30"/>
      <c r="M4" s="34">
        <v>20</v>
      </c>
      <c r="N4" s="31">
        <f>PRODUCT(0.5*(I3+I4),A4,1/3.956)</f>
        <v>3.0561172901921134</v>
      </c>
      <c r="O4" s="31">
        <f t="shared" si="1"/>
        <v>3.8061172901921134</v>
      </c>
      <c r="P4" s="32">
        <f>PRODUCT(360/C4,O4,D4/E4)+M4/2</f>
        <v>466.7340748230537</v>
      </c>
      <c r="Q4" s="99">
        <f t="shared" si="2"/>
        <v>106.73407482305367</v>
      </c>
      <c r="R4" s="41">
        <f>IF(E4&gt;1,PRODUCT(360,O4/C4)," ")</f>
        <v>22.83670374115268</v>
      </c>
      <c r="S4" s="3"/>
      <c r="T4" s="3"/>
      <c r="U4" s="3"/>
      <c r="V4" s="3"/>
    </row>
    <row r="5" spans="1:22" ht="12.75">
      <c r="A5" s="78">
        <v>1.5</v>
      </c>
      <c r="B5" s="116">
        <v>0.75</v>
      </c>
      <c r="C5" s="122">
        <v>60</v>
      </c>
      <c r="D5" s="36">
        <v>1</v>
      </c>
      <c r="E5" s="10">
        <v>1</v>
      </c>
      <c r="F5" s="28">
        <f>C5/D5</f>
        <v>60</v>
      </c>
      <c r="G5" s="85">
        <f t="shared" si="0"/>
        <v>1000</v>
      </c>
      <c r="H5" s="91">
        <v>0.12</v>
      </c>
      <c r="I5" s="89">
        <f>H5+I2</f>
        <v>8.18</v>
      </c>
      <c r="J5" s="66">
        <f>E5*F5*M5/360</f>
        <v>3</v>
      </c>
      <c r="K5" s="28"/>
      <c r="L5" s="30"/>
      <c r="M5" s="34">
        <v>18</v>
      </c>
      <c r="N5" s="31">
        <f aca="true" t="shared" si="3" ref="N5:N11">PRODUCT(I5,A5,1/3.956)</f>
        <v>3.101617795753286</v>
      </c>
      <c r="O5" s="31">
        <f t="shared" si="1"/>
        <v>3.851617795753286</v>
      </c>
      <c r="P5" s="32">
        <f aca="true" t="shared" si="4" ref="P5:P11">PRODUCT(360/C5,O5,D5/E5)</f>
        <v>23.109706774519715</v>
      </c>
      <c r="Q5" s="99">
        <f t="shared" si="2"/>
        <v>23.109706774519715</v>
      </c>
      <c r="R5" s="41" t="str">
        <f>IF(E5&gt;1,PRODUCT(-360,O5/C5)," ")</f>
        <v> </v>
      </c>
      <c r="S5" s="3"/>
      <c r="T5" s="3"/>
      <c r="U5" s="3"/>
      <c r="V5" s="3"/>
    </row>
    <row r="6" spans="1:22" ht="12.75">
      <c r="A6" s="78">
        <v>1.5</v>
      </c>
      <c r="B6" s="116">
        <v>0.75</v>
      </c>
      <c r="C6" s="122">
        <v>60</v>
      </c>
      <c r="D6" s="10">
        <v>51</v>
      </c>
      <c r="E6" s="10">
        <v>3</v>
      </c>
      <c r="F6" s="28">
        <f>C6/D6</f>
        <v>1.1764705882352942</v>
      </c>
      <c r="G6" s="85">
        <f t="shared" si="0"/>
        <v>17000</v>
      </c>
      <c r="H6" s="37">
        <f>(F6-1)/19*156</f>
        <v>1.448916408668731</v>
      </c>
      <c r="I6" s="89">
        <f>H6+I2</f>
        <v>9.508916408668732</v>
      </c>
      <c r="J6" s="28">
        <f>20*H6/H11</f>
        <v>0.1857585139318886</v>
      </c>
      <c r="K6" s="28">
        <f>0.24+H6/156*19.76</f>
        <v>0.42352941176470593</v>
      </c>
      <c r="L6" s="129">
        <f>360/E6*K6/F6</f>
        <v>43.2</v>
      </c>
      <c r="M6" s="30">
        <f>360/E6*J6/F6</f>
        <v>18.947368421052637</v>
      </c>
      <c r="N6" s="31">
        <f t="shared" si="3"/>
        <v>3.605504199444666</v>
      </c>
      <c r="O6" s="31">
        <f t="shared" si="1"/>
        <v>4.355504199444666</v>
      </c>
      <c r="P6" s="32">
        <f t="shared" si="4"/>
        <v>444.2614283433559</v>
      </c>
      <c r="Q6" s="99">
        <f t="shared" si="2"/>
        <v>84.26142834335587</v>
      </c>
      <c r="R6" s="41">
        <f>IF(E6&gt;1,PRODUCT(360,O6/C6)," ")</f>
        <v>26.133025196667997</v>
      </c>
      <c r="S6" s="3"/>
      <c r="T6" s="3"/>
      <c r="U6" s="3"/>
      <c r="V6" s="3"/>
    </row>
    <row r="7" spans="1:22" ht="12.75">
      <c r="A7" s="78">
        <v>1.5</v>
      </c>
      <c r="B7" s="116">
        <v>0.75</v>
      </c>
      <c r="C7" s="122">
        <v>60</v>
      </c>
      <c r="D7" s="36">
        <v>1</v>
      </c>
      <c r="E7" s="10">
        <v>1</v>
      </c>
      <c r="F7" s="28">
        <f>C7/D7</f>
        <v>60</v>
      </c>
      <c r="G7" s="85">
        <f t="shared" si="0"/>
        <v>1000</v>
      </c>
      <c r="H7" s="91">
        <v>3.44</v>
      </c>
      <c r="I7" s="89">
        <f>H7+I2</f>
        <v>11.5</v>
      </c>
      <c r="J7" s="66">
        <f>E7*F7*M7/360</f>
        <v>4.15</v>
      </c>
      <c r="K7" s="28"/>
      <c r="L7" s="30"/>
      <c r="M7" s="34">
        <v>24.9</v>
      </c>
      <c r="N7" s="31">
        <f t="shared" si="3"/>
        <v>4.3604651162790695</v>
      </c>
      <c r="O7" s="31">
        <f t="shared" si="1"/>
        <v>5.1104651162790695</v>
      </c>
      <c r="P7" s="32">
        <f t="shared" si="4"/>
        <v>30.662790697674417</v>
      </c>
      <c r="Q7" s="99">
        <f t="shared" si="2"/>
        <v>30.662790697674417</v>
      </c>
      <c r="R7" s="41" t="str">
        <f>IF(E7&gt;1,PRODUCT(-360,O7/C7)," ")</f>
        <v> </v>
      </c>
      <c r="S7" s="3"/>
      <c r="T7" s="3"/>
      <c r="U7" s="3"/>
      <c r="V7" s="3"/>
    </row>
    <row r="8" spans="1:22" ht="12.75">
      <c r="A8" s="78">
        <v>1.5</v>
      </c>
      <c r="B8" s="116">
        <v>0.75</v>
      </c>
      <c r="C8" s="122">
        <v>60</v>
      </c>
      <c r="D8" s="10">
        <v>36</v>
      </c>
      <c r="E8" s="10">
        <v>3</v>
      </c>
      <c r="F8" s="28">
        <f>C8/D8</f>
        <v>1.6666666666666667</v>
      </c>
      <c r="G8" s="85">
        <f t="shared" si="0"/>
        <v>12000</v>
      </c>
      <c r="H8" s="37">
        <f>(F8-1)/19*156</f>
        <v>5.473684210526317</v>
      </c>
      <c r="I8" s="89">
        <f>H8+I2</f>
        <v>13.533684210526317</v>
      </c>
      <c r="J8" s="28">
        <f>20*H8/H11</f>
        <v>0.7017543859649124</v>
      </c>
      <c r="K8" s="28">
        <f>0.24+H8/156*19.76</f>
        <v>0.9333333333333335</v>
      </c>
      <c r="L8" s="129">
        <f>360/E8*K8/F8</f>
        <v>67.2</v>
      </c>
      <c r="M8" s="30">
        <f>360/E8*J8/F8</f>
        <v>50.526315789473685</v>
      </c>
      <c r="N8" s="31">
        <f t="shared" si="3"/>
        <v>5.131578947368422</v>
      </c>
      <c r="O8" s="31">
        <f t="shared" si="1"/>
        <v>5.881578947368422</v>
      </c>
      <c r="P8" s="32">
        <f t="shared" si="4"/>
        <v>423.4736842105264</v>
      </c>
      <c r="Q8" s="99">
        <f t="shared" si="2"/>
        <v>63.473684210526415</v>
      </c>
      <c r="R8" s="41">
        <f>IF(E8&gt;1,PRODUCT(360,O8/C8)," ")</f>
        <v>35.289473684210535</v>
      </c>
      <c r="S8" s="3"/>
      <c r="T8" s="3"/>
      <c r="U8" s="3"/>
      <c r="V8" s="3"/>
    </row>
    <row r="9" spans="1:22" ht="12.75">
      <c r="A9" s="78">
        <v>1.5</v>
      </c>
      <c r="B9" s="116">
        <v>0.75</v>
      </c>
      <c r="C9" s="122">
        <v>60</v>
      </c>
      <c r="D9" s="10">
        <v>23</v>
      </c>
      <c r="E9" s="10">
        <v>3</v>
      </c>
      <c r="F9" s="28">
        <f>C9/D9</f>
        <v>2.608695652173913</v>
      </c>
      <c r="G9" s="85">
        <f t="shared" si="0"/>
        <v>7666.666666666667</v>
      </c>
      <c r="H9" s="37">
        <f>(F9-1)/19*156</f>
        <v>13.208237986270024</v>
      </c>
      <c r="I9" s="89">
        <f>H9+I2</f>
        <v>21.268237986270023</v>
      </c>
      <c r="J9" s="28">
        <f>20*H9/H11</f>
        <v>1.6933638443935928</v>
      </c>
      <c r="K9" s="28">
        <f>0.24+H9/156*19.76</f>
        <v>1.9130434782608698</v>
      </c>
      <c r="L9" s="30">
        <f>360/E9*K9/F9</f>
        <v>88.00000000000001</v>
      </c>
      <c r="M9" s="129">
        <f>360/E9*J9/F9</f>
        <v>77.89473684210527</v>
      </c>
      <c r="N9" s="31">
        <f t="shared" si="3"/>
        <v>8.0642965064219</v>
      </c>
      <c r="O9" s="31">
        <f t="shared" si="1"/>
        <v>8.8142965064219</v>
      </c>
      <c r="P9" s="32">
        <f t="shared" si="4"/>
        <v>405.45763929540743</v>
      </c>
      <c r="Q9" s="99">
        <f t="shared" si="2"/>
        <v>45.45763929540743</v>
      </c>
      <c r="R9" s="41">
        <f>IF(E9&gt;1,PRODUCT(360,O9/C9)," ")</f>
        <v>52.8857790385314</v>
      </c>
      <c r="S9" s="3"/>
      <c r="T9" s="3"/>
      <c r="U9" s="3"/>
      <c r="V9" s="3"/>
    </row>
    <row r="10" spans="1:22" ht="12.75">
      <c r="A10" s="79">
        <v>1.5</v>
      </c>
      <c r="B10" s="117">
        <v>0.75</v>
      </c>
      <c r="C10" s="123">
        <v>60</v>
      </c>
      <c r="D10" s="93">
        <v>1</v>
      </c>
      <c r="E10" s="82">
        <v>1</v>
      </c>
      <c r="F10" s="48">
        <f>C10/D10</f>
        <v>60</v>
      </c>
      <c r="G10" s="86">
        <f t="shared" si="0"/>
        <v>1000</v>
      </c>
      <c r="H10" s="49">
        <v>75.31</v>
      </c>
      <c r="I10" s="90">
        <f>H10+I2</f>
        <v>83.37</v>
      </c>
      <c r="J10" s="66">
        <f>2+H10/156*58</f>
        <v>29.999871794871794</v>
      </c>
      <c r="K10" s="48"/>
      <c r="L10" s="51"/>
      <c r="M10" s="129">
        <f>360/E10*J10/F10</f>
        <v>179.99923076923076</v>
      </c>
      <c r="N10" s="53">
        <f t="shared" si="3"/>
        <v>31.611476238624878</v>
      </c>
      <c r="O10" s="53">
        <f t="shared" si="1"/>
        <v>32.361476238624874</v>
      </c>
      <c r="P10" s="54">
        <f t="shared" si="4"/>
        <v>194.16885743174925</v>
      </c>
      <c r="Q10" s="100">
        <f t="shared" si="2"/>
        <v>194.16885743174925</v>
      </c>
      <c r="R10" s="41" t="str">
        <f>IF(E10&gt;1,PRODUCT(-360,O10/C10)," ")</f>
        <v> </v>
      </c>
      <c r="S10" s="3"/>
      <c r="T10" s="3"/>
      <c r="U10" s="3"/>
      <c r="V10" s="3"/>
    </row>
    <row r="11" spans="1:22" ht="13.5" thickBot="1">
      <c r="A11" s="80">
        <v>1.5</v>
      </c>
      <c r="B11" s="118">
        <v>0.75</v>
      </c>
      <c r="C11" s="123">
        <v>60</v>
      </c>
      <c r="D11" s="93">
        <v>1</v>
      </c>
      <c r="E11" s="82">
        <v>1</v>
      </c>
      <c r="F11" s="48">
        <f>C11/D11</f>
        <v>60</v>
      </c>
      <c r="G11" s="86">
        <f t="shared" si="0"/>
        <v>1000</v>
      </c>
      <c r="H11" s="92">
        <v>156</v>
      </c>
      <c r="I11" s="90">
        <f>H11+I2</f>
        <v>164.06</v>
      </c>
      <c r="J11" s="66">
        <f>E11*F11*M11/360</f>
        <v>60</v>
      </c>
      <c r="K11" s="48"/>
      <c r="L11" s="51"/>
      <c r="M11" s="52">
        <v>360</v>
      </c>
      <c r="N11" s="53">
        <f t="shared" si="3"/>
        <v>62.20677451971689</v>
      </c>
      <c r="O11" s="53">
        <f t="shared" si="1"/>
        <v>62.95677451971689</v>
      </c>
      <c r="P11" s="54">
        <f t="shared" si="4"/>
        <v>377.74064711830135</v>
      </c>
      <c r="Q11" s="138"/>
      <c r="R11" s="126" t="str">
        <f>IF(E11&gt;1,PRODUCT(360,O11/C11)," ")</f>
        <v> </v>
      </c>
      <c r="S11" s="3"/>
      <c r="T11" s="3"/>
      <c r="U11" s="3"/>
      <c r="V11" s="3"/>
    </row>
    <row r="12" spans="1:22" s="61" customFormat="1" ht="13.5" thickBot="1">
      <c r="A12" s="40"/>
      <c r="B12" s="101"/>
      <c r="C12" s="94"/>
      <c r="D12" s="42"/>
      <c r="E12" s="42"/>
      <c r="F12" s="42"/>
      <c r="G12" s="111"/>
      <c r="H12" s="42"/>
      <c r="I12" s="108">
        <f>I2</f>
        <v>8.06</v>
      </c>
      <c r="J12" s="42"/>
      <c r="K12" s="42"/>
      <c r="L12" s="111"/>
      <c r="M12" s="111"/>
      <c r="N12" s="112"/>
      <c r="O12" s="113"/>
      <c r="P12" s="114"/>
      <c r="Q12" s="98"/>
      <c r="R12" s="127"/>
      <c r="S12" s="88"/>
      <c r="T12" s="88"/>
      <c r="U12" s="88"/>
      <c r="V12" s="88"/>
    </row>
    <row r="13" spans="1:22" ht="12.75">
      <c r="A13" s="77">
        <v>4</v>
      </c>
      <c r="B13" s="115">
        <v>0.75</v>
      </c>
      <c r="C13" s="121">
        <v>60</v>
      </c>
      <c r="D13" s="83">
        <v>60</v>
      </c>
      <c r="E13" s="83">
        <v>3</v>
      </c>
      <c r="F13" s="66">
        <f>C13/D13</f>
        <v>1</v>
      </c>
      <c r="G13" s="103">
        <f aca="true" t="shared" si="5" ref="G13:G21">60000/E13/F13</f>
        <v>20000</v>
      </c>
      <c r="H13" s="104">
        <v>-0.06</v>
      </c>
      <c r="I13" s="105">
        <f>H13+I12</f>
        <v>8</v>
      </c>
      <c r="J13" s="66">
        <f>E13*M13/360*F13</f>
        <v>0.16666666666666666</v>
      </c>
      <c r="K13" s="66"/>
      <c r="L13" s="67"/>
      <c r="M13" s="68">
        <v>20</v>
      </c>
      <c r="N13" s="69">
        <f>PRODUCT((I13+I14)/2,A13,1/3.956)</f>
        <v>8.14964610717897</v>
      </c>
      <c r="O13" s="69">
        <f aca="true" t="shared" si="6" ref="O13:O21">SUM(B13,N13)</f>
        <v>8.89964610717897</v>
      </c>
      <c r="P13" s="70">
        <f>PRODUCT(360/C13,O13,D13/E13)-M13/2</f>
        <v>1057.9575328614765</v>
      </c>
      <c r="Q13" s="106">
        <f aca="true" t="shared" si="7" ref="Q13:Q20">MOD(P13,360)</f>
        <v>337.95753286147647</v>
      </c>
      <c r="R13" s="125">
        <f>IF(E13&gt;1,PRODUCT(360,O13/C13)," ")</f>
        <v>53.397876643073815</v>
      </c>
      <c r="S13" s="3"/>
      <c r="T13" s="3"/>
      <c r="U13" s="3"/>
      <c r="V13" s="3"/>
    </row>
    <row r="14" spans="1:22" ht="12.75">
      <c r="A14" s="78">
        <v>4</v>
      </c>
      <c r="B14" s="116">
        <v>0.75</v>
      </c>
      <c r="C14" s="122">
        <v>60</v>
      </c>
      <c r="D14" s="10">
        <v>60</v>
      </c>
      <c r="E14" s="10">
        <v>3</v>
      </c>
      <c r="F14" s="28">
        <f>C14/D14</f>
        <v>1</v>
      </c>
      <c r="G14" s="85">
        <f t="shared" si="5"/>
        <v>20000</v>
      </c>
      <c r="H14" s="91">
        <v>0.06</v>
      </c>
      <c r="I14" s="89">
        <f>H14+I12</f>
        <v>8.120000000000001</v>
      </c>
      <c r="J14" s="28">
        <f>E14*M14/360*F14</f>
        <v>0.16666666666666666</v>
      </c>
      <c r="K14" s="28"/>
      <c r="L14" s="30"/>
      <c r="M14" s="34">
        <v>20</v>
      </c>
      <c r="N14" s="31">
        <f>PRODUCT((I13+I14)/2,A14,1/3.956)</f>
        <v>8.14964610717897</v>
      </c>
      <c r="O14" s="31">
        <f t="shared" si="6"/>
        <v>8.89964610717897</v>
      </c>
      <c r="P14" s="32">
        <f>PRODUCT(360/C14,O14,D14/E14)+M13/2</f>
        <v>1077.9575328614765</v>
      </c>
      <c r="Q14" s="99">
        <f t="shared" si="7"/>
        <v>357.95753286147647</v>
      </c>
      <c r="R14" s="41">
        <f>IF(E14&gt;1,PRODUCT(360,O14/C14)," ")</f>
        <v>53.397876643073815</v>
      </c>
      <c r="S14" s="3"/>
      <c r="T14" s="3"/>
      <c r="U14" s="3"/>
      <c r="V14" s="3"/>
    </row>
    <row r="15" spans="1:22" ht="12.75">
      <c r="A15" s="78">
        <v>4</v>
      </c>
      <c r="B15" s="116">
        <v>0.75</v>
      </c>
      <c r="C15" s="122">
        <v>60</v>
      </c>
      <c r="D15" s="10">
        <v>1</v>
      </c>
      <c r="E15" s="10">
        <v>1</v>
      </c>
      <c r="F15" s="28">
        <f>C15/D15</f>
        <v>60</v>
      </c>
      <c r="G15" s="85">
        <f t="shared" si="5"/>
        <v>1000</v>
      </c>
      <c r="H15" s="91">
        <v>0.12</v>
      </c>
      <c r="I15" s="89">
        <f>H15+I12</f>
        <v>8.18</v>
      </c>
      <c r="J15" s="28">
        <f>E15*M15/360*F15</f>
        <v>3</v>
      </c>
      <c r="K15" s="28"/>
      <c r="L15" s="30"/>
      <c r="M15" s="34">
        <v>18</v>
      </c>
      <c r="N15" s="31">
        <f aca="true" t="shared" si="8" ref="N15:N21">PRODUCT(I15,A15,1/3.956)</f>
        <v>8.27098078867543</v>
      </c>
      <c r="O15" s="31">
        <f t="shared" si="6"/>
        <v>9.02098078867543</v>
      </c>
      <c r="P15" s="32">
        <f aca="true" t="shared" si="9" ref="P15:P21">PRODUCT(360/C15,O15,D15/E15)</f>
        <v>54.12588473205258</v>
      </c>
      <c r="Q15" s="99">
        <f t="shared" si="7"/>
        <v>54.12588473205258</v>
      </c>
      <c r="R15" s="41" t="str">
        <f>IF(E15&gt;1,PRODUCT(-360,O15/C15)," ")</f>
        <v> </v>
      </c>
      <c r="S15" s="3"/>
      <c r="T15" s="3"/>
      <c r="U15" s="3"/>
      <c r="V15" s="3"/>
    </row>
    <row r="16" spans="1:22" ht="12.75">
      <c r="A16" s="78">
        <v>4</v>
      </c>
      <c r="B16" s="116">
        <v>0.75</v>
      </c>
      <c r="C16" s="122">
        <v>60</v>
      </c>
      <c r="D16" s="10">
        <v>51</v>
      </c>
      <c r="E16" s="10">
        <v>3</v>
      </c>
      <c r="F16" s="28">
        <f>C16/D16</f>
        <v>1.1764705882352942</v>
      </c>
      <c r="G16" s="85">
        <f t="shared" si="5"/>
        <v>17000</v>
      </c>
      <c r="H16" s="37">
        <f>(F16-1)/19*156</f>
        <v>1.448916408668731</v>
      </c>
      <c r="I16" s="89">
        <f>H16+I12</f>
        <v>9.508916408668732</v>
      </c>
      <c r="J16" s="28">
        <f>20*H16/H21</f>
        <v>0.1857585139318886</v>
      </c>
      <c r="K16" s="28">
        <f>0.24+H16/156*19.76</f>
        <v>0.42352941176470593</v>
      </c>
      <c r="L16" s="129">
        <f>360/E16*K16/F16</f>
        <v>43.2</v>
      </c>
      <c r="M16" s="30">
        <f>360/E16*J16/F16</f>
        <v>18.947368421052637</v>
      </c>
      <c r="N16" s="31">
        <f t="shared" si="8"/>
        <v>9.614677865185776</v>
      </c>
      <c r="O16" s="31">
        <f t="shared" si="6"/>
        <v>10.364677865185776</v>
      </c>
      <c r="P16" s="32">
        <f t="shared" si="9"/>
        <v>1057.1971422489491</v>
      </c>
      <c r="Q16" s="99">
        <f t="shared" si="7"/>
        <v>337.19714224894915</v>
      </c>
      <c r="R16" s="41">
        <f>IF(E16&gt;1,PRODUCT(360,O16/C16)," ")</f>
        <v>62.188067191114655</v>
      </c>
      <c r="S16" s="3"/>
      <c r="T16" s="3"/>
      <c r="U16" s="3"/>
      <c r="V16" s="3"/>
    </row>
    <row r="17" spans="1:22" ht="12.75">
      <c r="A17" s="78">
        <v>4</v>
      </c>
      <c r="B17" s="116">
        <v>0.75</v>
      </c>
      <c r="C17" s="122">
        <v>60</v>
      </c>
      <c r="D17" s="10">
        <v>1</v>
      </c>
      <c r="E17" s="10">
        <v>1</v>
      </c>
      <c r="F17" s="28">
        <f>C17/D17</f>
        <v>60</v>
      </c>
      <c r="G17" s="85">
        <f t="shared" si="5"/>
        <v>1000</v>
      </c>
      <c r="H17" s="91">
        <v>3.44</v>
      </c>
      <c r="I17" s="89">
        <f>H17+I12</f>
        <v>11.5</v>
      </c>
      <c r="J17" s="66">
        <f>E17*F17*M17/360</f>
        <v>4.15</v>
      </c>
      <c r="K17" s="28"/>
      <c r="L17" s="30"/>
      <c r="M17" s="34">
        <v>24.9</v>
      </c>
      <c r="N17" s="31">
        <f t="shared" si="8"/>
        <v>11.627906976744187</v>
      </c>
      <c r="O17" s="31">
        <f t="shared" si="6"/>
        <v>12.377906976744187</v>
      </c>
      <c r="P17" s="32">
        <f t="shared" si="9"/>
        <v>74.26744186046513</v>
      </c>
      <c r="Q17" s="99">
        <f t="shared" si="7"/>
        <v>74.26744186046513</v>
      </c>
      <c r="R17" s="41" t="str">
        <f>IF(E17&gt;1,PRODUCT(-360,O17/C17)," ")</f>
        <v> </v>
      </c>
      <c r="S17" s="3"/>
      <c r="T17" s="3"/>
      <c r="U17" s="3"/>
      <c r="V17" s="3"/>
    </row>
    <row r="18" spans="1:22" ht="12.75">
      <c r="A18" s="78">
        <v>4</v>
      </c>
      <c r="B18" s="116">
        <v>0.75</v>
      </c>
      <c r="C18" s="122">
        <v>60</v>
      </c>
      <c r="D18" s="10">
        <v>36</v>
      </c>
      <c r="E18" s="10">
        <v>3</v>
      </c>
      <c r="F18" s="28">
        <f>C18/D18</f>
        <v>1.6666666666666667</v>
      </c>
      <c r="G18" s="85">
        <f t="shared" si="5"/>
        <v>12000</v>
      </c>
      <c r="H18" s="37">
        <f>(F18-1)/19*156</f>
        <v>5.473684210526317</v>
      </c>
      <c r="I18" s="89">
        <f>H18+I12</f>
        <v>13.533684210526317</v>
      </c>
      <c r="J18" s="28">
        <f>20*H18/H21</f>
        <v>0.7017543859649124</v>
      </c>
      <c r="K18" s="28">
        <f>0.24+H18/156*19.76</f>
        <v>0.9333333333333335</v>
      </c>
      <c r="L18" s="129">
        <f>360/E18*K18/F18</f>
        <v>67.2</v>
      </c>
      <c r="M18" s="30">
        <f>360/E18*J18/F18</f>
        <v>50.526315789473685</v>
      </c>
      <c r="N18" s="31">
        <f t="shared" si="8"/>
        <v>13.684210526315791</v>
      </c>
      <c r="O18" s="31">
        <f t="shared" si="6"/>
        <v>14.434210526315791</v>
      </c>
      <c r="P18" s="32">
        <f t="shared" si="9"/>
        <v>1039.2631578947369</v>
      </c>
      <c r="Q18" s="99">
        <f t="shared" si="7"/>
        <v>319.2631578947369</v>
      </c>
      <c r="R18" s="41">
        <f>IF(E18&gt;1,PRODUCT(360,O18/C18)," ")</f>
        <v>86.60526315789474</v>
      </c>
      <c r="S18" s="3"/>
      <c r="T18" s="3"/>
      <c r="U18" s="3"/>
      <c r="V18" s="3"/>
    </row>
    <row r="19" spans="1:22" ht="12.75">
      <c r="A19" s="79">
        <v>4</v>
      </c>
      <c r="B19" s="117">
        <v>0.75</v>
      </c>
      <c r="C19" s="123">
        <v>60</v>
      </c>
      <c r="D19" s="82">
        <v>23</v>
      </c>
      <c r="E19" s="82">
        <v>3</v>
      </c>
      <c r="F19" s="48">
        <f>C19/D19</f>
        <v>2.608695652173913</v>
      </c>
      <c r="G19" s="86">
        <f t="shared" si="5"/>
        <v>7666.666666666667</v>
      </c>
      <c r="H19" s="50">
        <f>(F19-1)/19*156</f>
        <v>13.208237986270024</v>
      </c>
      <c r="I19" s="90">
        <f>H19+I12</f>
        <v>21.268237986270023</v>
      </c>
      <c r="J19" s="28">
        <f>20*H19/H21</f>
        <v>1.6933638443935928</v>
      </c>
      <c r="K19" s="28">
        <f>0.24+H19/156*19.76</f>
        <v>1.9130434782608698</v>
      </c>
      <c r="L19" s="30">
        <f>360/E19*K19/F19</f>
        <v>88.00000000000001</v>
      </c>
      <c r="M19" s="129">
        <f>360/E19*J19/F19</f>
        <v>77.89473684210527</v>
      </c>
      <c r="N19" s="53">
        <f t="shared" si="8"/>
        <v>21.504790683791732</v>
      </c>
      <c r="O19" s="53">
        <f t="shared" si="6"/>
        <v>22.254790683791732</v>
      </c>
      <c r="P19" s="54">
        <f t="shared" si="9"/>
        <v>1023.7203714544198</v>
      </c>
      <c r="Q19" s="100">
        <f t="shared" si="7"/>
        <v>303.7203714544198</v>
      </c>
      <c r="R19" s="41">
        <f>IF(E19&gt;1,PRODUCT(360,O19/C19)," ")</f>
        <v>133.52874410275038</v>
      </c>
      <c r="S19" s="3"/>
      <c r="T19" s="3"/>
      <c r="U19" s="3"/>
      <c r="V19" s="3"/>
    </row>
    <row r="20" spans="1:22" s="97" customFormat="1" ht="12.75">
      <c r="A20" s="78">
        <v>4</v>
      </c>
      <c r="B20" s="116">
        <v>0.75</v>
      </c>
      <c r="C20" s="122">
        <v>60</v>
      </c>
      <c r="D20" s="10">
        <v>1</v>
      </c>
      <c r="E20" s="10">
        <v>1</v>
      </c>
      <c r="F20" s="28">
        <f>C20/D20</f>
        <v>60</v>
      </c>
      <c r="G20" s="85">
        <f t="shared" si="5"/>
        <v>1000</v>
      </c>
      <c r="H20" s="29">
        <v>75.31</v>
      </c>
      <c r="I20" s="89">
        <f>H20+I12</f>
        <v>83.37</v>
      </c>
      <c r="J20" s="66">
        <f>2+H20/156*58</f>
        <v>29.999871794871794</v>
      </c>
      <c r="K20" s="28"/>
      <c r="L20" s="30"/>
      <c r="M20" s="129">
        <f>360/E20*J20/F20</f>
        <v>179.99923076923076</v>
      </c>
      <c r="N20" s="31">
        <f t="shared" si="8"/>
        <v>84.29726996966633</v>
      </c>
      <c r="O20" s="31">
        <f t="shared" si="6"/>
        <v>85.04726996966633</v>
      </c>
      <c r="P20" s="32">
        <f t="shared" si="9"/>
        <v>510.283619817998</v>
      </c>
      <c r="Q20" s="99">
        <f t="shared" si="7"/>
        <v>150.283619817998</v>
      </c>
      <c r="R20" s="41" t="str">
        <f>IF(E20&gt;1,PRODUCT(-360,O20/C20)," ")</f>
        <v> </v>
      </c>
      <c r="S20" s="71"/>
      <c r="T20" s="71"/>
      <c r="U20" s="71"/>
      <c r="V20" s="71"/>
    </row>
    <row r="21" spans="1:22" ht="13.5" thickBot="1">
      <c r="A21" s="81">
        <v>4</v>
      </c>
      <c r="B21" s="119">
        <v>0.75</v>
      </c>
      <c r="C21" s="121">
        <v>60</v>
      </c>
      <c r="D21" s="83">
        <v>1</v>
      </c>
      <c r="E21" s="83">
        <v>1</v>
      </c>
      <c r="F21" s="66">
        <f>C21/D21</f>
        <v>60</v>
      </c>
      <c r="G21" s="103">
        <f t="shared" si="5"/>
        <v>1000</v>
      </c>
      <c r="H21" s="104">
        <v>156</v>
      </c>
      <c r="I21" s="105">
        <f>H21+I12</f>
        <v>164.06</v>
      </c>
      <c r="J21" s="66">
        <f>E21*M21/360*F21</f>
        <v>60</v>
      </c>
      <c r="K21" s="66"/>
      <c r="L21" s="67"/>
      <c r="M21" s="68">
        <v>360</v>
      </c>
      <c r="N21" s="69">
        <f t="shared" si="8"/>
        <v>165.88473205257836</v>
      </c>
      <c r="O21" s="69">
        <f t="shared" si="6"/>
        <v>166.63473205257836</v>
      </c>
      <c r="P21" s="70">
        <f t="shared" si="9"/>
        <v>999.8083923154702</v>
      </c>
      <c r="Q21" s="139"/>
      <c r="R21" s="126" t="str">
        <f>IF(E21&gt;1,PRODUCT(360,O21/C21)," ")</f>
        <v> </v>
      </c>
      <c r="S21" s="3"/>
      <c r="T21" s="3"/>
      <c r="U21" s="3"/>
      <c r="V21" s="3"/>
    </row>
    <row r="22" spans="1:22" s="61" customFormat="1" ht="13.5" thickBot="1">
      <c r="A22" s="40"/>
      <c r="B22" s="101"/>
      <c r="C22" s="94"/>
      <c r="D22" s="42"/>
      <c r="E22" s="42"/>
      <c r="F22" s="42"/>
      <c r="G22" s="111"/>
      <c r="H22" s="42"/>
      <c r="I22" s="108">
        <f>I2</f>
        <v>8.06</v>
      </c>
      <c r="J22" s="42"/>
      <c r="K22" s="42"/>
      <c r="L22" s="111"/>
      <c r="M22" s="111"/>
      <c r="N22" s="112"/>
      <c r="O22" s="113"/>
      <c r="P22" s="114"/>
      <c r="Q22" s="98"/>
      <c r="R22" s="127"/>
      <c r="S22" s="88"/>
      <c r="T22" s="88"/>
      <c r="U22" s="88"/>
      <c r="V22" s="88"/>
    </row>
    <row r="23" spans="1:22" ht="12.75">
      <c r="A23" s="77">
        <v>16.8</v>
      </c>
      <c r="B23" s="115">
        <v>0.75</v>
      </c>
      <c r="C23" s="121">
        <v>60</v>
      </c>
      <c r="D23" s="83">
        <v>60</v>
      </c>
      <c r="E23" s="83">
        <v>3</v>
      </c>
      <c r="F23" s="66">
        <f>C23/D23</f>
        <v>1</v>
      </c>
      <c r="G23" s="103">
        <f aca="true" t="shared" si="10" ref="G23:G31">60000/E23/F23</f>
        <v>20000</v>
      </c>
      <c r="H23" s="104">
        <v>-0.06</v>
      </c>
      <c r="I23" s="105">
        <f>H23+I22</f>
        <v>8</v>
      </c>
      <c r="J23" s="66">
        <f>E23*M23/360*F23</f>
        <v>0.16666666666666666</v>
      </c>
      <c r="K23" s="66">
        <f>(I24-I23)*(A23-5.35)/3.956</f>
        <v>0.3473205257836227</v>
      </c>
      <c r="L23" s="67">
        <f>360*K23/(E23*F23)</f>
        <v>41.678463094034726</v>
      </c>
      <c r="M23" s="68">
        <v>20</v>
      </c>
      <c r="N23" s="69">
        <f>PRODUCT((I23+I24)/2,A23,1/3.956)</f>
        <v>34.228513650151676</v>
      </c>
      <c r="O23" s="69">
        <f aca="true" t="shared" si="11" ref="O23:O31">SUM(B23,N23)</f>
        <v>34.978513650151676</v>
      </c>
      <c r="P23" s="70">
        <f>PRODUCT(360/C23,O23,D23/E23)-M23/2-L23/2</f>
        <v>4166.582406471183</v>
      </c>
      <c r="Q23" s="106">
        <f aca="true" t="shared" si="12" ref="Q23:Q30">MOD(P23,360)</f>
        <v>206.58240647118328</v>
      </c>
      <c r="R23" s="125">
        <f>IF(E23&gt;1,PRODUCT(360,O23/C23)," ")</f>
        <v>209.87108190091007</v>
      </c>
      <c r="S23" s="3"/>
      <c r="T23" s="3"/>
      <c r="U23" s="3"/>
      <c r="V23" s="3"/>
    </row>
    <row r="24" spans="1:22" ht="12.75">
      <c r="A24" s="78">
        <v>16.8</v>
      </c>
      <c r="B24" s="116">
        <v>0.75</v>
      </c>
      <c r="C24" s="122">
        <v>60</v>
      </c>
      <c r="D24" s="10">
        <v>60</v>
      </c>
      <c r="E24" s="10">
        <v>3</v>
      </c>
      <c r="F24" s="28">
        <f>C24/D24</f>
        <v>1</v>
      </c>
      <c r="G24" s="85">
        <f t="shared" si="10"/>
        <v>20000</v>
      </c>
      <c r="H24" s="91">
        <v>0.06</v>
      </c>
      <c r="I24" s="89">
        <f>H24+I22</f>
        <v>8.120000000000001</v>
      </c>
      <c r="J24" s="28">
        <f>E24*M24/360*F24</f>
        <v>0.16666666666666666</v>
      </c>
      <c r="K24" s="28"/>
      <c r="L24" s="30"/>
      <c r="M24" s="34">
        <v>20</v>
      </c>
      <c r="N24" s="31">
        <f>PRODUCT((I23+I24)/2,A24,1/3.956)</f>
        <v>34.228513650151676</v>
      </c>
      <c r="O24" s="31">
        <f t="shared" si="11"/>
        <v>34.978513650151676</v>
      </c>
      <c r="P24" s="32">
        <f>PRODUCT(360/C24,O24,D24/E24)+M24/2+L23/2</f>
        <v>4228.260869565218</v>
      </c>
      <c r="Q24" s="99">
        <f t="shared" si="12"/>
        <v>268.26086956521794</v>
      </c>
      <c r="R24" s="41">
        <f>IF(E24&gt;1,PRODUCT(360,O24/C24)," ")</f>
        <v>209.87108190091007</v>
      </c>
      <c r="S24" s="3"/>
      <c r="T24" s="3"/>
      <c r="U24" s="3"/>
      <c r="V24" s="3"/>
    </row>
    <row r="25" spans="1:22" ht="12.75">
      <c r="A25" s="78">
        <v>16.8</v>
      </c>
      <c r="B25" s="116">
        <v>0.75</v>
      </c>
      <c r="C25" s="122">
        <v>60</v>
      </c>
      <c r="D25" s="10">
        <v>1</v>
      </c>
      <c r="E25" s="10">
        <v>1</v>
      </c>
      <c r="F25" s="28">
        <f>C25/D25</f>
        <v>60</v>
      </c>
      <c r="G25" s="85">
        <f t="shared" si="10"/>
        <v>1000</v>
      </c>
      <c r="H25" s="91">
        <v>0.12</v>
      </c>
      <c r="I25" s="89">
        <f>H25+I22</f>
        <v>8.18</v>
      </c>
      <c r="J25" s="28">
        <f>E25*M25/360*F25</f>
        <v>3</v>
      </c>
      <c r="K25" s="28"/>
      <c r="L25" s="30"/>
      <c r="M25" s="34">
        <v>18</v>
      </c>
      <c r="N25" s="31">
        <f aca="true" t="shared" si="13" ref="N25:N31">PRODUCT(I25,A25,1/3.956)</f>
        <v>34.73811931243681</v>
      </c>
      <c r="O25" s="31">
        <f t="shared" si="11"/>
        <v>35.48811931243681</v>
      </c>
      <c r="P25" s="32">
        <f aca="true" t="shared" si="14" ref="P25:P31">PRODUCT(360/C25,O25,D25/E25)</f>
        <v>212.92871587462085</v>
      </c>
      <c r="Q25" s="99">
        <f t="shared" si="12"/>
        <v>212.92871587462085</v>
      </c>
      <c r="R25" s="41" t="str">
        <f>IF(E25&gt;1,PRODUCT(-360,O25/C25)," ")</f>
        <v> </v>
      </c>
      <c r="S25" s="3"/>
      <c r="T25" s="3"/>
      <c r="U25" s="3"/>
      <c r="V25" s="3"/>
    </row>
    <row r="26" spans="1:22" ht="12.75">
      <c r="A26" s="78">
        <v>16.8</v>
      </c>
      <c r="B26" s="116">
        <v>0.75</v>
      </c>
      <c r="C26" s="122">
        <v>60</v>
      </c>
      <c r="D26" s="10">
        <v>51</v>
      </c>
      <c r="E26" s="10">
        <v>3</v>
      </c>
      <c r="F26" s="28">
        <f>C26/D26</f>
        <v>1.1764705882352942</v>
      </c>
      <c r="G26" s="85">
        <f t="shared" si="10"/>
        <v>17000</v>
      </c>
      <c r="H26" s="37">
        <f>(F26-1)/19*156</f>
        <v>1.448916408668731</v>
      </c>
      <c r="I26" s="89">
        <f>H26+I22</f>
        <v>9.508916408668732</v>
      </c>
      <c r="J26" s="28">
        <f>20*H26/H31</f>
        <v>0.1857585139318886</v>
      </c>
      <c r="K26" s="28">
        <f>0.24+H26/156*19.76</f>
        <v>0.42352941176470593</v>
      </c>
      <c r="L26" s="129">
        <f>360/E26*K26/F26</f>
        <v>43.2</v>
      </c>
      <c r="M26" s="30">
        <f>360/E26*J26/F26</f>
        <v>18.947368421052637</v>
      </c>
      <c r="N26" s="31">
        <f t="shared" si="13"/>
        <v>40.38164703378026</v>
      </c>
      <c r="O26" s="31">
        <f t="shared" si="11"/>
        <v>41.13164703378026</v>
      </c>
      <c r="P26" s="32">
        <f t="shared" si="14"/>
        <v>4195.427997445587</v>
      </c>
      <c r="Q26" s="99">
        <f t="shared" si="12"/>
        <v>235.4279974455867</v>
      </c>
      <c r="R26" s="41">
        <f>IF(E26&gt;1,PRODUCT(360,O26/C26)," ")</f>
        <v>246.78988220268155</v>
      </c>
      <c r="S26" s="3"/>
      <c r="T26" s="3"/>
      <c r="U26" s="3"/>
      <c r="V26" s="3"/>
    </row>
    <row r="27" spans="1:22" ht="12.75">
      <c r="A27" s="78">
        <v>16.8</v>
      </c>
      <c r="B27" s="116">
        <v>0.75</v>
      </c>
      <c r="C27" s="122">
        <v>60</v>
      </c>
      <c r="D27" s="10">
        <v>1</v>
      </c>
      <c r="E27" s="10">
        <v>1</v>
      </c>
      <c r="F27" s="28">
        <f>C27/D27</f>
        <v>60</v>
      </c>
      <c r="G27" s="85">
        <f t="shared" si="10"/>
        <v>1000</v>
      </c>
      <c r="H27" s="91">
        <v>3.44</v>
      </c>
      <c r="I27" s="89">
        <f>H27+I22</f>
        <v>11.5</v>
      </c>
      <c r="J27" s="66">
        <f>E27*F27*M27/360</f>
        <v>4.15</v>
      </c>
      <c r="K27" s="28"/>
      <c r="L27" s="30"/>
      <c r="M27" s="34">
        <v>24.9</v>
      </c>
      <c r="N27" s="31">
        <f t="shared" si="13"/>
        <v>48.83720930232559</v>
      </c>
      <c r="O27" s="31">
        <f t="shared" si="11"/>
        <v>49.58720930232559</v>
      </c>
      <c r="P27" s="32">
        <f t="shared" si="14"/>
        <v>297.52325581395354</v>
      </c>
      <c r="Q27" s="99">
        <f t="shared" si="12"/>
        <v>297.52325581395354</v>
      </c>
      <c r="R27" s="41" t="str">
        <f>IF(E27&gt;1,PRODUCT(-360,O27/C27)," ")</f>
        <v> </v>
      </c>
      <c r="S27" s="3"/>
      <c r="T27" s="3"/>
      <c r="U27" s="3"/>
      <c r="V27" s="3"/>
    </row>
    <row r="28" spans="1:22" ht="12.75">
      <c r="A28" s="78">
        <v>16.8</v>
      </c>
      <c r="B28" s="116">
        <v>0.75</v>
      </c>
      <c r="C28" s="122">
        <v>60</v>
      </c>
      <c r="D28" s="10">
        <v>36</v>
      </c>
      <c r="E28" s="10">
        <v>3</v>
      </c>
      <c r="F28" s="28">
        <f>C28/D28</f>
        <v>1.6666666666666667</v>
      </c>
      <c r="G28" s="85">
        <f t="shared" si="10"/>
        <v>12000</v>
      </c>
      <c r="H28" s="37">
        <f>(F28-1)/19*156</f>
        <v>5.473684210526317</v>
      </c>
      <c r="I28" s="89">
        <f>H28+I22</f>
        <v>13.533684210526317</v>
      </c>
      <c r="J28" s="28">
        <f>20*H28/H31</f>
        <v>0.7017543859649124</v>
      </c>
      <c r="K28" s="28">
        <f>0.24+H28/156*19.76</f>
        <v>0.9333333333333335</v>
      </c>
      <c r="L28" s="129">
        <f>360/E28*K28/F28</f>
        <v>67.2</v>
      </c>
      <c r="M28" s="30">
        <f>360/E28*J28/F28</f>
        <v>50.526315789473685</v>
      </c>
      <c r="N28" s="31">
        <f t="shared" si="13"/>
        <v>57.47368421052633</v>
      </c>
      <c r="O28" s="31">
        <f t="shared" si="11"/>
        <v>58.22368421052633</v>
      </c>
      <c r="P28" s="32">
        <f t="shared" si="14"/>
        <v>4192.105263157896</v>
      </c>
      <c r="Q28" s="99">
        <f t="shared" si="12"/>
        <v>232.10526315789593</v>
      </c>
      <c r="R28" s="41">
        <f>IF(E28&gt;1,PRODUCT(360,O28/C28)," ")</f>
        <v>349.342105263158</v>
      </c>
      <c r="S28" s="3"/>
      <c r="T28" s="3"/>
      <c r="U28" s="3"/>
      <c r="V28" s="3"/>
    </row>
    <row r="29" spans="1:22" ht="12.75">
      <c r="A29" s="79">
        <v>16.8</v>
      </c>
      <c r="B29" s="117">
        <v>0.75</v>
      </c>
      <c r="C29" s="123">
        <v>60</v>
      </c>
      <c r="D29" s="82">
        <v>23</v>
      </c>
      <c r="E29" s="82">
        <v>3</v>
      </c>
      <c r="F29" s="48">
        <f>C29/D29</f>
        <v>2.608695652173913</v>
      </c>
      <c r="G29" s="86">
        <f t="shared" si="10"/>
        <v>7666.666666666667</v>
      </c>
      <c r="H29" s="50">
        <f>(F29-1)/19*156</f>
        <v>13.208237986270024</v>
      </c>
      <c r="I29" s="90">
        <f>H29+I22</f>
        <v>21.268237986270023</v>
      </c>
      <c r="J29" s="28">
        <f>20*H29/H31</f>
        <v>1.6933638443935928</v>
      </c>
      <c r="K29" s="28">
        <f>0.24+H29/156*19.76</f>
        <v>1.9130434782608698</v>
      </c>
      <c r="L29" s="30">
        <f>360/E29*K29/F29</f>
        <v>88.00000000000001</v>
      </c>
      <c r="M29" s="129">
        <f>360/E29*J29/F29</f>
        <v>77.89473684210527</v>
      </c>
      <c r="N29" s="53">
        <f t="shared" si="13"/>
        <v>90.32012087192527</v>
      </c>
      <c r="O29" s="53">
        <f t="shared" si="11"/>
        <v>91.07012087192527</v>
      </c>
      <c r="P29" s="54">
        <f t="shared" si="14"/>
        <v>4189.225560108563</v>
      </c>
      <c r="Q29" s="100">
        <f t="shared" si="12"/>
        <v>229.2255601085626</v>
      </c>
      <c r="R29" s="41">
        <f>IF(E29&gt;1,PRODUCT(360,O29/C29)," ")</f>
        <v>546.4207252315516</v>
      </c>
      <c r="S29" s="3"/>
      <c r="T29" s="3"/>
      <c r="U29" s="3"/>
      <c r="V29" s="3"/>
    </row>
    <row r="30" spans="1:22" s="97" customFormat="1" ht="12.75">
      <c r="A30" s="78">
        <v>16.8</v>
      </c>
      <c r="B30" s="116">
        <v>0.75</v>
      </c>
      <c r="C30" s="122">
        <v>60</v>
      </c>
      <c r="D30" s="10">
        <v>1</v>
      </c>
      <c r="E30" s="10">
        <v>1</v>
      </c>
      <c r="F30" s="28">
        <f>C30/D30</f>
        <v>60</v>
      </c>
      <c r="G30" s="85">
        <f t="shared" si="10"/>
        <v>1000</v>
      </c>
      <c r="H30" s="29">
        <v>75.31</v>
      </c>
      <c r="I30" s="89">
        <f>H30+I22</f>
        <v>83.37</v>
      </c>
      <c r="J30" s="66">
        <f>2+H30/156*58</f>
        <v>29.999871794871794</v>
      </c>
      <c r="K30" s="28"/>
      <c r="L30" s="30"/>
      <c r="M30" s="129">
        <f>360/E30*J30/F30</f>
        <v>179.99923076923076</v>
      </c>
      <c r="N30" s="31">
        <f t="shared" si="13"/>
        <v>354.0485338725986</v>
      </c>
      <c r="O30" s="31">
        <f t="shared" si="11"/>
        <v>354.7985338725986</v>
      </c>
      <c r="P30" s="32">
        <f t="shared" si="14"/>
        <v>2128.7912032355916</v>
      </c>
      <c r="Q30" s="99">
        <f t="shared" si="12"/>
        <v>328.79120323559164</v>
      </c>
      <c r="R30" s="41" t="str">
        <f>IF(E30&gt;1,PRODUCT(-360,O30/C30)," ")</f>
        <v> </v>
      </c>
      <c r="S30" s="71"/>
      <c r="T30" s="71"/>
      <c r="U30" s="71"/>
      <c r="V30" s="71"/>
    </row>
    <row r="31" spans="1:22" ht="13.5" thickBot="1">
      <c r="A31" s="81">
        <v>16.8</v>
      </c>
      <c r="B31" s="119">
        <v>0.75</v>
      </c>
      <c r="C31" s="124">
        <v>60</v>
      </c>
      <c r="D31" s="84">
        <v>1</v>
      </c>
      <c r="E31" s="84">
        <v>1</v>
      </c>
      <c r="F31" s="72">
        <f>C31/D31</f>
        <v>60</v>
      </c>
      <c r="G31" s="87">
        <f t="shared" si="10"/>
        <v>1000</v>
      </c>
      <c r="H31" s="95">
        <v>156</v>
      </c>
      <c r="I31" s="96">
        <f>H31+I22</f>
        <v>164.06</v>
      </c>
      <c r="J31" s="72">
        <f>E31*M31/360*F31</f>
        <v>60</v>
      </c>
      <c r="K31" s="72"/>
      <c r="L31" s="73"/>
      <c r="M31" s="74">
        <v>360</v>
      </c>
      <c r="N31" s="75">
        <f t="shared" si="13"/>
        <v>696.7158746208291</v>
      </c>
      <c r="O31" s="75">
        <f t="shared" si="11"/>
        <v>697.4658746208291</v>
      </c>
      <c r="P31" s="76">
        <f t="shared" si="14"/>
        <v>4184.795247724975</v>
      </c>
      <c r="Q31" s="140"/>
      <c r="R31" s="128" t="str">
        <f>IF(E31&gt;1,PRODUCT(360,O31/C31)," ")</f>
        <v> </v>
      </c>
      <c r="S31" s="3"/>
      <c r="T31" s="3"/>
      <c r="U31" s="3"/>
      <c r="V31" s="3"/>
    </row>
  </sheetData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D22" sqref="D22"/>
    </sheetView>
  </sheetViews>
  <sheetFormatPr defaultColWidth="9.140625" defaultRowHeight="12.75"/>
  <cols>
    <col min="2" max="2" width="11.00390625" style="0" customWidth="1"/>
    <col min="4" max="4" width="10.57421875" style="0" customWidth="1"/>
    <col min="5" max="5" width="13.7109375" style="0" customWidth="1"/>
    <col min="8" max="8" width="8.28125" style="0" customWidth="1"/>
    <col min="9" max="9" width="7.8515625" style="0" customWidth="1"/>
    <col min="10" max="10" width="7.57421875" style="0" customWidth="1"/>
    <col min="11" max="11" width="11.28125" style="0" customWidth="1"/>
    <col min="13" max="13" width="11.7109375" style="0" customWidth="1"/>
    <col min="14" max="14" width="12.28125" style="0" customWidth="1"/>
  </cols>
  <sheetData>
    <row r="1" spans="1:7" ht="54">
      <c r="A1" s="27"/>
      <c r="B1" s="27" t="s">
        <v>63</v>
      </c>
      <c r="C1" s="27" t="s">
        <v>94</v>
      </c>
      <c r="D1" s="27" t="s">
        <v>88</v>
      </c>
      <c r="E1" s="27" t="s">
        <v>64</v>
      </c>
      <c r="F1" s="27" t="s">
        <v>62</v>
      </c>
      <c r="G1" s="27" t="s">
        <v>61</v>
      </c>
    </row>
    <row r="2" spans="1:7" ht="12.75">
      <c r="A2" s="27" t="s">
        <v>153</v>
      </c>
      <c r="B2" s="130">
        <v>0</v>
      </c>
      <c r="C2" s="130"/>
      <c r="D2" s="133">
        <v>8.06</v>
      </c>
      <c r="E2" s="27"/>
      <c r="F2" s="27"/>
      <c r="G2" s="27"/>
    </row>
    <row r="3" spans="1:7" ht="12.75">
      <c r="A3" s="26" t="s">
        <v>53</v>
      </c>
      <c r="B3" s="91">
        <v>0.12</v>
      </c>
      <c r="C3" s="131">
        <f aca="true" t="shared" si="0" ref="C3:C15">B3-B2</f>
        <v>0.12</v>
      </c>
      <c r="D3" s="55">
        <f aca="true" t="shared" si="1" ref="D3:D15">D2+C3</f>
        <v>8.18</v>
      </c>
      <c r="E3" s="55">
        <f aca="true" t="shared" si="2" ref="E3:E15">B3-0.12</f>
        <v>0</v>
      </c>
      <c r="F3" s="62">
        <v>1.5</v>
      </c>
      <c r="G3" s="62">
        <v>8</v>
      </c>
    </row>
    <row r="4" spans="1:7" ht="12.75">
      <c r="A4" s="26" t="s">
        <v>49</v>
      </c>
      <c r="B4" s="91">
        <v>1.45</v>
      </c>
      <c r="C4" s="131">
        <f t="shared" si="0"/>
        <v>1.33</v>
      </c>
      <c r="D4" s="55">
        <f t="shared" si="1"/>
        <v>9.51</v>
      </c>
      <c r="E4" s="55">
        <f t="shared" si="2"/>
        <v>1.33</v>
      </c>
      <c r="F4" s="131">
        <f>MIN(F9,F3+(F9-F3)*E4/E8)</f>
        <v>1.6529321579149099</v>
      </c>
      <c r="G4" s="131">
        <f>MIN(G9,G3+(G9-G3)*E4/E8)</f>
        <v>8.254886929858182</v>
      </c>
    </row>
    <row r="5" spans="1:7" ht="12.75">
      <c r="A5" s="26" t="s">
        <v>48</v>
      </c>
      <c r="B5" s="91">
        <v>3.44</v>
      </c>
      <c r="C5" s="131">
        <f t="shared" si="0"/>
        <v>1.99</v>
      </c>
      <c r="D5" s="55">
        <f t="shared" si="1"/>
        <v>11.5</v>
      </c>
      <c r="E5" s="55">
        <f t="shared" si="2"/>
        <v>3.32</v>
      </c>
      <c r="F5" s="131">
        <f>MIN(F9,F3+(F9-F3)*E5/E8)</f>
        <v>1.8817554618627828</v>
      </c>
      <c r="G5" s="131">
        <f>MIN(G9,G3+(G9-G3)*E5/E8)</f>
        <v>8.636259103104639</v>
      </c>
    </row>
    <row r="6" spans="1:7" ht="12.75">
      <c r="A6" s="26" t="s">
        <v>49</v>
      </c>
      <c r="B6" s="91">
        <v>5.47</v>
      </c>
      <c r="C6" s="131">
        <f t="shared" si="0"/>
        <v>2.03</v>
      </c>
      <c r="D6" s="55">
        <f t="shared" si="1"/>
        <v>13.53</v>
      </c>
      <c r="E6" s="55">
        <f t="shared" si="2"/>
        <v>5.35</v>
      </c>
      <c r="F6" s="131">
        <f>MIN(F9,F3+(F9-F3)*E6/E8)</f>
        <v>2.1151782292065926</v>
      </c>
      <c r="G6" s="131">
        <f>MIN(G9,G3+(G9-G3)*E6/E8)</f>
        <v>9.025297048677654</v>
      </c>
    </row>
    <row r="7" spans="1:7" ht="12.75">
      <c r="A7" s="57" t="s">
        <v>50</v>
      </c>
      <c r="B7" s="91">
        <v>13.21</v>
      </c>
      <c r="C7" s="131">
        <f t="shared" si="0"/>
        <v>7.740000000000001</v>
      </c>
      <c r="D7" s="55">
        <f t="shared" si="1"/>
        <v>21.27</v>
      </c>
      <c r="E7" s="55">
        <f t="shared" si="2"/>
        <v>13.090000000000002</v>
      </c>
      <c r="F7" s="131">
        <f>MIN(F9,F3+(F9-F3)*E7/E8)</f>
        <v>3.005174396320429</v>
      </c>
      <c r="G7" s="131">
        <f>MIN(G9,G3+(G9-G3)*E7/E8)</f>
        <v>10.508623993867381</v>
      </c>
    </row>
    <row r="8" spans="1:7" ht="12.75">
      <c r="A8" s="26"/>
      <c r="B8" s="132">
        <v>26.21</v>
      </c>
      <c r="C8" s="131">
        <f t="shared" si="0"/>
        <v>13</v>
      </c>
      <c r="D8" s="55">
        <f t="shared" si="1"/>
        <v>34.269999999999996</v>
      </c>
      <c r="E8" s="55">
        <f t="shared" si="2"/>
        <v>26.09</v>
      </c>
      <c r="F8" s="131">
        <f>MIN(F9,F3+(F9-F3)*E8/E8)</f>
        <v>4.5</v>
      </c>
      <c r="G8" s="131">
        <f>MIN(G9,G3+(G9-G3)*E8/E8)</f>
        <v>13</v>
      </c>
    </row>
    <row r="9" spans="1:7" ht="12.75">
      <c r="A9" s="26" t="s">
        <v>51</v>
      </c>
      <c r="B9" s="92">
        <v>75.31</v>
      </c>
      <c r="C9" s="131">
        <f t="shared" si="0"/>
        <v>49.1</v>
      </c>
      <c r="D9" s="55">
        <f t="shared" si="1"/>
        <v>83.37</v>
      </c>
      <c r="E9" s="55">
        <f t="shared" si="2"/>
        <v>75.19</v>
      </c>
      <c r="F9" s="59">
        <v>4.5</v>
      </c>
      <c r="G9" s="59">
        <v>13</v>
      </c>
    </row>
    <row r="10" spans="1:7" ht="12.75">
      <c r="A10" s="26"/>
      <c r="B10" s="59">
        <v>124</v>
      </c>
      <c r="C10" s="131">
        <f t="shared" si="0"/>
        <v>48.69</v>
      </c>
      <c r="D10" s="55">
        <f t="shared" si="1"/>
        <v>132.06</v>
      </c>
      <c r="E10" s="55">
        <f t="shared" si="2"/>
        <v>123.88</v>
      </c>
      <c r="F10" s="55">
        <f>MIN(F9,F3+(F9-F3)*E10/E9)</f>
        <v>4.5</v>
      </c>
      <c r="G10" s="55">
        <f>MIN(13,8+5*E10/E9)</f>
        <v>13</v>
      </c>
    </row>
    <row r="11" spans="1:7" ht="12.75">
      <c r="A11" s="26"/>
      <c r="B11" s="62">
        <v>139</v>
      </c>
      <c r="C11" s="131">
        <f t="shared" si="0"/>
        <v>15</v>
      </c>
      <c r="D11" s="55">
        <f t="shared" si="1"/>
        <v>147.06</v>
      </c>
      <c r="E11" s="55">
        <f t="shared" si="2"/>
        <v>138.88</v>
      </c>
      <c r="F11" s="55">
        <v>2</v>
      </c>
      <c r="G11" s="55">
        <v>8</v>
      </c>
    </row>
    <row r="12" spans="1:7" ht="12.75">
      <c r="A12" s="26"/>
      <c r="B12" s="62">
        <v>151.5</v>
      </c>
      <c r="C12" s="131">
        <f t="shared" si="0"/>
        <v>12.5</v>
      </c>
      <c r="D12" s="55">
        <f t="shared" si="1"/>
        <v>159.56</v>
      </c>
      <c r="E12" s="55">
        <f t="shared" si="2"/>
        <v>151.38</v>
      </c>
      <c r="F12" s="55">
        <v>1.3</v>
      </c>
      <c r="G12" s="55">
        <v>2.6</v>
      </c>
    </row>
    <row r="13" spans="1:7" ht="12.75">
      <c r="A13" s="26"/>
      <c r="B13" s="62">
        <v>153</v>
      </c>
      <c r="C13" s="131">
        <f t="shared" si="0"/>
        <v>1.5</v>
      </c>
      <c r="D13" s="55">
        <f t="shared" si="1"/>
        <v>161.06</v>
      </c>
      <c r="E13" s="55">
        <f t="shared" si="2"/>
        <v>152.88</v>
      </c>
      <c r="F13" s="55">
        <v>1.3</v>
      </c>
      <c r="G13" s="55">
        <v>2.6</v>
      </c>
    </row>
    <row r="14" spans="1:7" ht="12.75">
      <c r="A14" s="26" t="s">
        <v>4</v>
      </c>
      <c r="B14" s="62">
        <v>154</v>
      </c>
      <c r="C14" s="131">
        <f t="shared" si="0"/>
        <v>1</v>
      </c>
      <c r="D14" s="55">
        <f t="shared" si="1"/>
        <v>162.06</v>
      </c>
      <c r="E14" s="55">
        <f t="shared" si="2"/>
        <v>153.88</v>
      </c>
      <c r="F14" s="26"/>
      <c r="G14" s="26"/>
    </row>
    <row r="15" spans="1:7" ht="12.75">
      <c r="A15" s="26" t="s">
        <v>52</v>
      </c>
      <c r="B15" s="62">
        <v>156</v>
      </c>
      <c r="C15" s="131">
        <f t="shared" si="0"/>
        <v>2</v>
      </c>
      <c r="D15" s="55">
        <f t="shared" si="1"/>
        <v>164.06</v>
      </c>
      <c r="E15" s="55">
        <f t="shared" si="2"/>
        <v>155.88</v>
      </c>
      <c r="F15" s="55"/>
      <c r="G15" s="55"/>
    </row>
    <row r="17" spans="1:7" ht="12.75">
      <c r="A17" s="27" t="s">
        <v>154</v>
      </c>
      <c r="B17" s="130">
        <v>0</v>
      </c>
      <c r="C17" s="130"/>
      <c r="D17" s="133">
        <v>1.5</v>
      </c>
      <c r="E17" s="27"/>
      <c r="F17" s="27"/>
      <c r="G17" s="27"/>
    </row>
    <row r="18" spans="1:7" ht="12.75">
      <c r="A18" s="26" t="s">
        <v>157</v>
      </c>
      <c r="B18" s="91">
        <v>0</v>
      </c>
      <c r="C18" s="131"/>
      <c r="D18" s="190">
        <f>B18+D17</f>
        <v>1.5</v>
      </c>
      <c r="E18" s="55">
        <v>0</v>
      </c>
      <c r="F18" s="62">
        <v>2</v>
      </c>
      <c r="G18" s="62">
        <v>8</v>
      </c>
    </row>
    <row r="19" spans="1:7" ht="12.75">
      <c r="A19" s="26" t="s">
        <v>155</v>
      </c>
      <c r="B19" s="91">
        <v>5</v>
      </c>
      <c r="C19" s="131">
        <f>B19-B18</f>
        <v>5</v>
      </c>
      <c r="D19" s="190">
        <f>B19+D17</f>
        <v>6.5</v>
      </c>
      <c r="E19" s="55">
        <f>B19</f>
        <v>5</v>
      </c>
      <c r="F19" s="131">
        <f>MIN(F23,F18+(F23-F18)*E19/E22)</f>
        <v>2.8333333333333335</v>
      </c>
      <c r="G19" s="131">
        <f>MIN(G23,G18+(G23-G18)*E19/E22)</f>
        <v>8.833333333333334</v>
      </c>
    </row>
    <row r="20" spans="1:7" ht="12.75">
      <c r="A20" s="26" t="s">
        <v>156</v>
      </c>
      <c r="B20" s="91">
        <v>8.5</v>
      </c>
      <c r="C20" s="131">
        <f aca="true" t="shared" si="3" ref="C20:C28">B20-B19</f>
        <v>3.5</v>
      </c>
      <c r="D20" s="190">
        <f>B20+D17</f>
        <v>10</v>
      </c>
      <c r="E20" s="55">
        <f aca="true" t="shared" si="4" ref="E20:E28">B20</f>
        <v>8.5</v>
      </c>
      <c r="F20" s="131">
        <f>MIN(F23,F18+(F23-F18)*E20/E22)</f>
        <v>3.416666666666667</v>
      </c>
      <c r="G20" s="131">
        <f>MIN(G23,G18+(G23-G18)*E20/E22)</f>
        <v>9.416666666666666</v>
      </c>
    </row>
    <row r="21" spans="1:7" ht="12.75">
      <c r="A21" s="26" t="s">
        <v>51</v>
      </c>
      <c r="B21" s="92">
        <v>10.5</v>
      </c>
      <c r="C21" s="131">
        <f t="shared" si="3"/>
        <v>2</v>
      </c>
      <c r="D21" s="190">
        <f>B21+D17</f>
        <v>12</v>
      </c>
      <c r="E21" s="55">
        <f>B21</f>
        <v>10.5</v>
      </c>
      <c r="F21" s="131">
        <f>MIN(F23,F18+(F23-F18)*E21/E22)</f>
        <v>3.75</v>
      </c>
      <c r="G21" s="131">
        <f>MIN(G23,G18+(G23-G18)*E21/E22)</f>
        <v>9.75</v>
      </c>
    </row>
    <row r="22" spans="1:7" ht="12.75">
      <c r="A22" s="26"/>
      <c r="B22" s="132">
        <v>12</v>
      </c>
      <c r="C22" s="131">
        <f t="shared" si="3"/>
        <v>1.5</v>
      </c>
      <c r="D22" s="190">
        <f>B22+D17</f>
        <v>13.5</v>
      </c>
      <c r="E22" s="55">
        <f t="shared" si="4"/>
        <v>12</v>
      </c>
      <c r="F22" s="131">
        <f>MIN(F23,F18+(F23-F18)*E22/E22)</f>
        <v>4</v>
      </c>
      <c r="G22" s="131">
        <f>MIN(G23,G18+(G23-G18)*E22/E22)</f>
        <v>10</v>
      </c>
    </row>
    <row r="23" spans="1:7" ht="12.75">
      <c r="A23" s="26"/>
      <c r="B23" s="132">
        <v>25.5</v>
      </c>
      <c r="C23" s="131">
        <f t="shared" si="3"/>
        <v>13.5</v>
      </c>
      <c r="D23" s="190">
        <f>B23+D17</f>
        <v>27</v>
      </c>
      <c r="E23" s="55">
        <f>B23</f>
        <v>25.5</v>
      </c>
      <c r="F23" s="59">
        <v>4</v>
      </c>
      <c r="G23" s="59">
        <v>10</v>
      </c>
    </row>
    <row r="24" spans="1:7" ht="12.75">
      <c r="A24" s="26"/>
      <c r="B24" s="62">
        <v>33.5</v>
      </c>
      <c r="C24" s="131">
        <f t="shared" si="3"/>
        <v>8</v>
      </c>
      <c r="D24" s="190">
        <f>B24+D17</f>
        <v>35</v>
      </c>
      <c r="E24" s="55">
        <f t="shared" si="4"/>
        <v>33.5</v>
      </c>
      <c r="F24" s="55">
        <v>2</v>
      </c>
      <c r="G24" s="55">
        <v>8</v>
      </c>
    </row>
    <row r="25" spans="1:7" ht="12.75">
      <c r="A25" s="26"/>
      <c r="B25" s="62">
        <v>46</v>
      </c>
      <c r="C25" s="131">
        <f t="shared" si="3"/>
        <v>12.5</v>
      </c>
      <c r="D25" s="190">
        <f>B25+D17</f>
        <v>47.5</v>
      </c>
      <c r="E25" s="55">
        <f t="shared" si="4"/>
        <v>46</v>
      </c>
      <c r="F25" s="55">
        <v>1.3</v>
      </c>
      <c r="G25" s="55">
        <v>2.6</v>
      </c>
    </row>
    <row r="26" spans="1:7" ht="12.75">
      <c r="A26" s="26"/>
      <c r="B26" s="62">
        <v>47.5</v>
      </c>
      <c r="C26" s="131">
        <f t="shared" si="3"/>
        <v>1.5</v>
      </c>
      <c r="D26" s="190">
        <f>B26+D17</f>
        <v>49</v>
      </c>
      <c r="E26" s="55">
        <f t="shared" si="4"/>
        <v>47.5</v>
      </c>
      <c r="F26" s="55">
        <v>1.3</v>
      </c>
      <c r="G26" s="55">
        <v>2.6</v>
      </c>
    </row>
    <row r="27" spans="1:7" ht="12.75">
      <c r="A27" s="26" t="s">
        <v>4</v>
      </c>
      <c r="B27" s="62">
        <v>48.5</v>
      </c>
      <c r="C27" s="131">
        <f t="shared" si="3"/>
        <v>1</v>
      </c>
      <c r="D27" s="190">
        <f>B27+D17</f>
        <v>50</v>
      </c>
      <c r="E27" s="55">
        <f t="shared" si="4"/>
        <v>48.5</v>
      </c>
      <c r="F27" s="26"/>
      <c r="G27" s="26"/>
    </row>
    <row r="28" spans="1:7" ht="12.75">
      <c r="A28" s="26" t="s">
        <v>52</v>
      </c>
      <c r="B28" s="62">
        <v>50.5</v>
      </c>
      <c r="C28" s="131">
        <f t="shared" si="3"/>
        <v>2</v>
      </c>
      <c r="D28" s="190">
        <f>B28+D17</f>
        <v>52</v>
      </c>
      <c r="E28" s="55">
        <f t="shared" si="4"/>
        <v>50.5</v>
      </c>
      <c r="F28" s="55"/>
      <c r="G28" s="5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H4" sqref="H4"/>
    </sheetView>
  </sheetViews>
  <sheetFormatPr defaultColWidth="9.140625" defaultRowHeight="12.75"/>
  <cols>
    <col min="1" max="1" width="6.57421875" style="0" customWidth="1"/>
    <col min="2" max="2" width="7.140625" style="0" customWidth="1"/>
    <col min="3" max="3" width="6.7109375" style="0" customWidth="1"/>
    <col min="4" max="4" width="8.421875" style="0" customWidth="1"/>
    <col min="5" max="5" width="7.28125" style="0" customWidth="1"/>
    <col min="6" max="6" width="7.421875" style="0" customWidth="1"/>
    <col min="7" max="7" width="6.7109375" style="0" customWidth="1"/>
    <col min="8" max="8" width="7.28125" style="0" customWidth="1"/>
    <col min="9" max="9" width="7.8515625" style="0" customWidth="1"/>
    <col min="10" max="10" width="8.57421875" style="0" customWidth="1"/>
    <col min="11" max="11" width="9.7109375" style="0" customWidth="1"/>
    <col min="12" max="12" width="7.57421875" style="0" customWidth="1"/>
    <col min="13" max="13" width="6.7109375" style="0" customWidth="1"/>
    <col min="14" max="14" width="7.57421875" style="0" customWidth="1"/>
    <col min="15" max="15" width="7.7109375" style="0" customWidth="1"/>
    <col min="16" max="16" width="7.00390625" style="0" customWidth="1"/>
    <col min="17" max="17" width="6.140625" style="0" customWidth="1"/>
  </cols>
  <sheetData>
    <row r="1" spans="1:17" ht="38.25">
      <c r="A1" s="142" t="s">
        <v>100</v>
      </c>
      <c r="B1" s="141" t="s">
        <v>92</v>
      </c>
      <c r="C1" s="141" t="s">
        <v>102</v>
      </c>
      <c r="D1" s="141" t="s">
        <v>90</v>
      </c>
      <c r="E1" s="141" t="s">
        <v>113</v>
      </c>
      <c r="F1" s="141" t="s">
        <v>91</v>
      </c>
      <c r="G1" s="141" t="s">
        <v>99</v>
      </c>
      <c r="H1" s="141" t="s">
        <v>105</v>
      </c>
      <c r="I1" s="141" t="s">
        <v>104</v>
      </c>
      <c r="J1" s="141" t="s">
        <v>93</v>
      </c>
      <c r="K1" s="141" t="s">
        <v>89</v>
      </c>
      <c r="L1" s="141" t="s">
        <v>98</v>
      </c>
      <c r="M1" s="141" t="s">
        <v>103</v>
      </c>
      <c r="N1" s="141" t="s">
        <v>101</v>
      </c>
      <c r="O1" s="141" t="s">
        <v>95</v>
      </c>
      <c r="P1" s="141" t="s">
        <v>96</v>
      </c>
      <c r="Q1" s="141" t="s">
        <v>97</v>
      </c>
    </row>
    <row r="2" spans="1:17" ht="12.75">
      <c r="A2" s="137">
        <v>1</v>
      </c>
      <c r="B2" s="62">
        <v>1.5</v>
      </c>
      <c r="C2" s="62">
        <v>8</v>
      </c>
      <c r="D2" s="60">
        <v>650</v>
      </c>
      <c r="E2" s="64">
        <v>0.6685</v>
      </c>
      <c r="F2" s="64">
        <v>4.8</v>
      </c>
      <c r="G2" s="64">
        <v>45</v>
      </c>
      <c r="H2" s="63">
        <f>H3-5</f>
        <v>-5.85</v>
      </c>
      <c r="J2" s="56">
        <f>DEGREES(ASIN((I6+B2/2)/D2))</f>
        <v>0.5230489650971104</v>
      </c>
      <c r="K2" s="134">
        <f>DEGREES(ASIN((I7-B2/2)/D2))</f>
        <v>0.8139553433772854</v>
      </c>
      <c r="L2" s="135">
        <f>D2</f>
        <v>650</v>
      </c>
      <c r="M2" s="135">
        <f>C2</f>
        <v>8</v>
      </c>
      <c r="N2" s="135">
        <f>L2/2</f>
        <v>325</v>
      </c>
      <c r="O2" s="134">
        <f>D2-L2/2*COS(RADIANS(K2))</f>
        <v>325.0327945709617</v>
      </c>
      <c r="P2" s="134">
        <f>B2/2+L2/2*SIN(RADIANS(K2))</f>
        <v>5.366859933029999</v>
      </c>
      <c r="Q2" s="134">
        <v>0</v>
      </c>
    </row>
    <row r="3" spans="1:17" ht="12.75">
      <c r="A3" s="137">
        <v>2</v>
      </c>
      <c r="B3" s="26"/>
      <c r="C3" s="26"/>
      <c r="D3" s="26"/>
      <c r="E3" s="26"/>
      <c r="F3" s="26"/>
      <c r="G3" s="26"/>
      <c r="H3" s="64">
        <v>-0.85</v>
      </c>
      <c r="I3" s="26"/>
      <c r="J3" s="26"/>
      <c r="K3" s="134">
        <f>DEGREES(ASIN((I6-B2/2)/L3))</f>
        <v>0.4786953794408032</v>
      </c>
      <c r="L3" s="135">
        <f>D2-L4</f>
        <v>530.6848617716423</v>
      </c>
      <c r="M3" s="135">
        <f>C2</f>
        <v>8</v>
      </c>
      <c r="N3" s="135">
        <f>L3/2</f>
        <v>265.34243088582116</v>
      </c>
      <c r="O3" s="134">
        <f>D2-L3/2*COS(RADIANS(K3))-L4*COS(RADIANS(K4))</f>
        <v>265.36112084651995</v>
      </c>
      <c r="P3" s="134">
        <f>B2/2+L3/2*SIN(RADIANS(K3))</f>
        <v>2.9668599330299985</v>
      </c>
      <c r="Q3" s="134">
        <v>0</v>
      </c>
    </row>
    <row r="4" spans="1:17" ht="12.75">
      <c r="A4" s="137">
        <v>3</v>
      </c>
      <c r="B4" s="26"/>
      <c r="C4" s="26"/>
      <c r="D4" s="26"/>
      <c r="E4" s="26"/>
      <c r="F4" s="26"/>
      <c r="G4" s="26"/>
      <c r="H4" s="56">
        <f>H3+5</f>
        <v>4.15</v>
      </c>
      <c r="I4" s="26"/>
      <c r="J4" s="26"/>
      <c r="K4" s="134">
        <f>DEGREES(ASIN(B2/L4))</f>
        <v>0.7203271486774255</v>
      </c>
      <c r="L4" s="135">
        <f>B2/SIN(RADIANS(J2))-G2</f>
        <v>119.31513822835763</v>
      </c>
      <c r="M4" s="135">
        <f>C2</f>
        <v>8</v>
      </c>
      <c r="N4" s="135">
        <f>L4/2</f>
        <v>59.65756911417881</v>
      </c>
      <c r="O4" s="134">
        <f>D2-L4/2*COS(RADIANS(K4))</f>
        <v>590.3471454780828</v>
      </c>
      <c r="P4" s="134">
        <f>-B2/2+L4/2*SIN(RADIANS(K4))</f>
        <v>0</v>
      </c>
      <c r="Q4" s="134">
        <v>0</v>
      </c>
    </row>
    <row r="5" spans="1:17" ht="12.75">
      <c r="A5" s="137"/>
      <c r="B5" s="26"/>
      <c r="C5" s="26"/>
      <c r="D5" s="26"/>
      <c r="E5" s="26"/>
      <c r="F5" s="26"/>
      <c r="G5" s="26"/>
      <c r="H5" s="56"/>
      <c r="I5" s="26"/>
      <c r="J5" s="26"/>
      <c r="K5" s="134"/>
      <c r="L5" s="135"/>
      <c r="M5" s="135"/>
      <c r="N5" s="135"/>
      <c r="O5" s="134"/>
      <c r="P5" s="134"/>
      <c r="Q5" s="134"/>
    </row>
    <row r="6" spans="1:17" ht="12.75">
      <c r="A6" s="137">
        <v>4</v>
      </c>
      <c r="B6" s="26"/>
      <c r="C6" s="26"/>
      <c r="D6" s="26"/>
      <c r="E6" s="26"/>
      <c r="F6" s="26"/>
      <c r="G6" s="26"/>
      <c r="H6" s="56">
        <f>H3+6</f>
        <v>5.15</v>
      </c>
      <c r="I6" s="56">
        <f>-F2/2+D2*SIN(RADIANS(E2))</f>
        <v>5.183719866059997</v>
      </c>
      <c r="J6" s="26"/>
      <c r="K6" s="134">
        <v>90</v>
      </c>
      <c r="L6" s="135">
        <f>D2</f>
        <v>650</v>
      </c>
      <c r="M6" s="64">
        <v>19</v>
      </c>
      <c r="N6" s="135">
        <f>L6/2</f>
        <v>325</v>
      </c>
      <c r="O6" s="134">
        <f>L6/2</f>
        <v>325</v>
      </c>
      <c r="P6" s="134">
        <f>(H2+H7)/2</f>
        <v>4.65</v>
      </c>
      <c r="Q6" s="134">
        <f>C2/2</f>
        <v>4</v>
      </c>
    </row>
    <row r="7" spans="1:17" ht="12.75">
      <c r="A7" s="137">
        <v>5</v>
      </c>
      <c r="B7" s="26"/>
      <c r="C7" s="26"/>
      <c r="D7" s="26"/>
      <c r="E7" s="26"/>
      <c r="F7" s="26"/>
      <c r="G7" s="26"/>
      <c r="H7" s="136">
        <f>H6+10</f>
        <v>15.15</v>
      </c>
      <c r="I7" s="134">
        <f>F2+I6</f>
        <v>9.983719866059996</v>
      </c>
      <c r="J7" s="26"/>
      <c r="K7" s="134">
        <v>90</v>
      </c>
      <c r="L7" s="135">
        <f>D2</f>
        <v>650</v>
      </c>
      <c r="M7" s="135">
        <f>M6</f>
        <v>19</v>
      </c>
      <c r="N7" s="135">
        <f>L7/2</f>
        <v>325</v>
      </c>
      <c r="O7" s="134">
        <f>L7/2</f>
        <v>325</v>
      </c>
      <c r="P7" s="134">
        <f>P6</f>
        <v>4.65</v>
      </c>
      <c r="Q7" s="134">
        <f>-C2/2</f>
        <v>-4</v>
      </c>
    </row>
    <row r="8" spans="1:17" ht="38.25">
      <c r="A8" s="143" t="s">
        <v>111</v>
      </c>
      <c r="B8" s="144"/>
      <c r="C8" s="143" t="s">
        <v>108</v>
      </c>
      <c r="D8" s="143" t="s">
        <v>106</v>
      </c>
      <c r="E8" s="143" t="s">
        <v>112</v>
      </c>
      <c r="F8" s="143" t="s">
        <v>107</v>
      </c>
      <c r="G8" s="144"/>
      <c r="H8" s="148" t="s">
        <v>115</v>
      </c>
      <c r="I8" s="149" t="s">
        <v>114</v>
      </c>
      <c r="J8" s="143" t="s">
        <v>116</v>
      </c>
      <c r="K8" s="143" t="s">
        <v>117</v>
      </c>
      <c r="L8" s="154"/>
      <c r="M8" s="141" t="s">
        <v>118</v>
      </c>
      <c r="N8" s="26"/>
      <c r="O8" s="26"/>
      <c r="P8" s="26"/>
      <c r="Q8" s="26"/>
    </row>
    <row r="9" spans="1:17" ht="12.75">
      <c r="A9" s="145" t="s">
        <v>110</v>
      </c>
      <c r="B9" s="26"/>
      <c r="C9" s="33">
        <f>H7-H2</f>
        <v>21</v>
      </c>
      <c r="D9" s="147">
        <v>150</v>
      </c>
      <c r="E9" s="151">
        <f>DEGREES(ATAN((I6-H7)/D9))</f>
        <v>-3.801251594432467</v>
      </c>
      <c r="F9" s="151">
        <f>DEGREES(ATAN((I7-H2)/D9))</f>
        <v>6.025721026027664</v>
      </c>
      <c r="G9" s="26"/>
      <c r="H9" s="60">
        <v>5.25</v>
      </c>
      <c r="I9" s="150">
        <v>3</v>
      </c>
      <c r="J9" s="152">
        <f>MIN(0,-0.1*I9*H9-K4)</f>
        <v>-2.295327148677426</v>
      </c>
      <c r="K9" s="152">
        <f>MAX(0,0.1*I9*H9-K2)</f>
        <v>0.7610446566227148</v>
      </c>
      <c r="L9" s="26"/>
      <c r="M9" s="153">
        <f>MAX(MIN(-E9,-J9),MIN(F9,K9))</f>
        <v>2.295327148677426</v>
      </c>
      <c r="N9" s="26"/>
      <c r="O9" s="26"/>
      <c r="P9" s="26"/>
      <c r="Q9" s="26"/>
    </row>
    <row r="10" spans="1:17" ht="12.75">
      <c r="A10" s="145" t="s">
        <v>109</v>
      </c>
      <c r="B10" s="26"/>
      <c r="C10" s="146">
        <v>12</v>
      </c>
      <c r="D10" s="147">
        <v>150</v>
      </c>
      <c r="E10" s="153">
        <f>-F10</f>
        <v>-3.8140748342903543</v>
      </c>
      <c r="F10" s="151">
        <f>DEGREES(ATAN((C2+C10)/2/D10))</f>
        <v>3.8140748342903543</v>
      </c>
      <c r="G10" s="26"/>
      <c r="H10" s="58">
        <f>H9</f>
        <v>5.25</v>
      </c>
      <c r="I10" s="150">
        <v>3</v>
      </c>
      <c r="J10" s="134">
        <f>-K10</f>
        <v>-1.5750000000000002</v>
      </c>
      <c r="K10" s="152">
        <f>0.1*I10*H10</f>
        <v>1.5750000000000002</v>
      </c>
      <c r="L10" s="26"/>
      <c r="M10" s="153">
        <f>MAX(MIN(-E10,-J10),MIN(F10,K10))</f>
        <v>1.5750000000000002</v>
      </c>
      <c r="N10" s="26"/>
      <c r="O10" s="26"/>
      <c r="P10" s="26"/>
      <c r="Q10" s="2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6"/>
  <sheetViews>
    <sheetView workbookViewId="0" topLeftCell="D1">
      <selection activeCell="M33" sqref="M33"/>
    </sheetView>
  </sheetViews>
  <sheetFormatPr defaultColWidth="9.140625" defaultRowHeight="12.75"/>
  <cols>
    <col min="1" max="1" width="5.7109375" style="0" customWidth="1"/>
    <col min="2" max="2" width="8.140625" style="0" customWidth="1"/>
    <col min="3" max="3" width="6.57421875" style="0" customWidth="1"/>
    <col min="4" max="5" width="7.00390625" style="0" customWidth="1"/>
    <col min="6" max="6" width="6.00390625" style="0" customWidth="1"/>
    <col min="7" max="7" width="6.57421875" style="0" customWidth="1"/>
    <col min="8" max="8" width="8.00390625" style="0" customWidth="1"/>
    <col min="9" max="9" width="7.57421875" style="0" customWidth="1"/>
    <col min="10" max="10" width="6.57421875" style="0" customWidth="1"/>
    <col min="11" max="11" width="8.00390625" style="0" customWidth="1"/>
    <col min="12" max="12" width="8.28125" style="0" customWidth="1"/>
    <col min="13" max="13" width="5.8515625" style="0" customWidth="1"/>
    <col min="14" max="15" width="6.421875" style="0" customWidth="1"/>
    <col min="16" max="16" width="8.140625" style="0" customWidth="1"/>
    <col min="17" max="17" width="8.421875" style="0" customWidth="1"/>
    <col min="18" max="19" width="6.57421875" style="0" customWidth="1"/>
    <col min="20" max="20" width="8.140625" style="0" customWidth="1"/>
    <col min="21" max="21" width="8.57421875" style="0" customWidth="1"/>
  </cols>
  <sheetData>
    <row r="1" spans="1:21" s="61" customFormat="1" ht="42" customHeight="1" thickBot="1">
      <c r="A1" s="160" t="s">
        <v>169</v>
      </c>
      <c r="B1" s="161" t="s">
        <v>158</v>
      </c>
      <c r="C1" s="191" t="s">
        <v>164</v>
      </c>
      <c r="D1" s="161" t="s">
        <v>167</v>
      </c>
      <c r="E1" s="211" t="s">
        <v>166</v>
      </c>
      <c r="F1" s="161" t="s">
        <v>119</v>
      </c>
      <c r="G1" s="161" t="s">
        <v>120</v>
      </c>
      <c r="H1" s="161" t="s">
        <v>159</v>
      </c>
      <c r="I1" s="161" t="s">
        <v>168</v>
      </c>
      <c r="J1" s="161" t="s">
        <v>121</v>
      </c>
      <c r="K1" s="161" t="s">
        <v>122</v>
      </c>
      <c r="L1" s="161" t="s">
        <v>123</v>
      </c>
      <c r="M1" s="161" t="s">
        <v>165</v>
      </c>
      <c r="N1" s="161" t="s">
        <v>162</v>
      </c>
      <c r="O1" s="161" t="s">
        <v>163</v>
      </c>
      <c r="P1" s="161" t="s">
        <v>160</v>
      </c>
      <c r="Q1" s="161" t="s">
        <v>161</v>
      </c>
      <c r="R1" s="161" t="s">
        <v>124</v>
      </c>
      <c r="S1" s="161" t="s">
        <v>125</v>
      </c>
      <c r="T1" s="161" t="s">
        <v>83</v>
      </c>
      <c r="U1" s="162" t="s">
        <v>84</v>
      </c>
    </row>
    <row r="2" spans="1:21" ht="12.75">
      <c r="A2" s="192">
        <v>0.75</v>
      </c>
      <c r="B2" s="193">
        <v>8.06</v>
      </c>
      <c r="D2" s="204">
        <v>60</v>
      </c>
      <c r="E2" s="210">
        <f>60/D2</f>
        <v>1</v>
      </c>
      <c r="F2" s="205">
        <v>0</v>
      </c>
      <c r="G2" s="206">
        <v>1.5</v>
      </c>
      <c r="H2" s="207">
        <f>B6*G2/3.956</f>
        <v>59.150657229524775</v>
      </c>
      <c r="I2" s="207">
        <f>(B2+B5)*G2/3.956</f>
        <v>31.611476238624874</v>
      </c>
      <c r="J2" s="169">
        <f>B2*G2/3.956+A2</f>
        <v>3.8061172901921134</v>
      </c>
      <c r="K2" s="215">
        <f>H2+J2-30</f>
        <v>32.95677451971689</v>
      </c>
      <c r="L2" s="215">
        <f>J2+H2+30</f>
        <v>92.95677451971689</v>
      </c>
      <c r="M2" s="155">
        <f>C5*ASIN(45/2/280)/PI()*60</f>
        <v>1.4869771053225798</v>
      </c>
      <c r="N2" s="155">
        <f>(B2+B5)/(I2+0.5*60*180/360+0.5*A4)</f>
        <v>1.769632511147001</v>
      </c>
      <c r="O2" s="155">
        <f>(B2+B5)/(I2-0.5*60*180/360-0.5*A4)</f>
        <v>5.174572383387985</v>
      </c>
      <c r="P2" s="217">
        <f>T2-J3</f>
        <v>31.63937356958406</v>
      </c>
      <c r="Q2" s="217">
        <f>U2-J5</f>
        <v>86.66194088946547</v>
      </c>
      <c r="R2" s="218">
        <f>(T2-A2)/(B2+B6)*3.956</f>
        <v>0.8125037293750733</v>
      </c>
      <c r="S2" s="218">
        <f>(U2-A2)/(B2+B6)*3.956</f>
        <v>2.1874962706249264</v>
      </c>
      <c r="T2" s="156">
        <f>(B2+B6)/N2-60+M2-0.5*A4+A2</f>
        <v>34.44549085977617</v>
      </c>
      <c r="U2" s="157">
        <f>(B2+B6)/O2+60-M2+0.5*A4+A2</f>
        <v>91.46805817965759</v>
      </c>
    </row>
    <row r="3" spans="1:21" ht="12.75">
      <c r="A3" s="196"/>
      <c r="B3" s="197"/>
      <c r="C3" s="198"/>
      <c r="D3" s="199"/>
      <c r="E3" s="199"/>
      <c r="F3" s="167">
        <v>1</v>
      </c>
      <c r="G3" s="56">
        <f>H3/B6*3.956</f>
        <v>1.0181794871794871</v>
      </c>
      <c r="H3" s="56">
        <f>H2-20+E2</f>
        <v>40.150657229524775</v>
      </c>
      <c r="I3" s="56">
        <f>B4*G3/3.956</f>
        <v>3.399937064115527</v>
      </c>
      <c r="J3" s="134">
        <f>J2-E2</f>
        <v>2.8061172901921134</v>
      </c>
      <c r="K3" s="56">
        <f>H3+J3-10</f>
        <v>32.95677451971689</v>
      </c>
      <c r="L3" s="56">
        <f>H3+J3+10</f>
        <v>52.95677451971689</v>
      </c>
      <c r="M3" s="56">
        <f>C4*ASIN(30.1/2/290)/PI()*60/D4</f>
        <v>0.466017425792056</v>
      </c>
      <c r="N3" s="56">
        <f>B4/(I3+0.5*E4*E6/120+0.022)</f>
        <v>3.0945958186954377</v>
      </c>
      <c r="O3" s="56">
        <f>B4/(I3-0.5*E4*E6/120-0.022)</f>
        <v>5.21898771237681</v>
      </c>
      <c r="P3" s="134">
        <f>B6/N5-58+M3</f>
        <v>30.876477834726355</v>
      </c>
      <c r="Q3" s="134">
        <f>B6/O4+1-M3+0.045</f>
        <v>49.46983662432318</v>
      </c>
      <c r="R3" s="214">
        <f>P3/B6*3.956</f>
        <v>0.7829958097062658</v>
      </c>
      <c r="S3" s="214">
        <f>Q3/B6*3.956</f>
        <v>1.2545043184988622</v>
      </c>
      <c r="T3" s="65">
        <f>P3+J3</f>
        <v>33.68259512491847</v>
      </c>
      <c r="U3" s="158">
        <f>Q3+J3</f>
        <v>52.27595391451529</v>
      </c>
    </row>
    <row r="4" spans="1:21" ht="12.75">
      <c r="A4" s="212">
        <v>1</v>
      </c>
      <c r="B4" s="194">
        <v>13.21</v>
      </c>
      <c r="C4" s="199">
        <f>(B6-B4)/B4</f>
        <v>10.809235427706282</v>
      </c>
      <c r="D4" s="208">
        <v>23</v>
      </c>
      <c r="E4" s="195">
        <f>60/D4</f>
        <v>2.608695652173913</v>
      </c>
      <c r="F4" s="167">
        <v>2</v>
      </c>
      <c r="G4" s="56">
        <f>H4/B6*3.956</f>
        <v>1.5</v>
      </c>
      <c r="H4" s="56">
        <f>H2</f>
        <v>59.150657229524775</v>
      </c>
      <c r="I4" s="56">
        <f>B4*G4/3.956</f>
        <v>5.008847320525784</v>
      </c>
      <c r="J4" s="134">
        <f>J2</f>
        <v>3.8061172901921134</v>
      </c>
      <c r="K4" s="56">
        <f>H4+J4-10</f>
        <v>52.95677451971689</v>
      </c>
      <c r="L4" s="56">
        <f>H4+J4+10</f>
        <v>72.95677451971689</v>
      </c>
      <c r="M4" s="56">
        <f>M3</f>
        <v>0.466017425792056</v>
      </c>
      <c r="N4" s="56">
        <f>B4/(I4+0.5*E4*E6/120+0.022)</f>
        <v>2.247499859256374</v>
      </c>
      <c r="O4" s="56">
        <f>B4/(I4-0.5*E4*E6/120-0.022)</f>
        <v>3.190780832752344</v>
      </c>
      <c r="P4" s="134">
        <f>B6/N3-1+M4</f>
        <v>49.87647783472636</v>
      </c>
      <c r="Q4" s="134">
        <f>B6/O5+1-M4+0.045</f>
        <v>68.46983662432315</v>
      </c>
      <c r="R4" s="214">
        <f>P4/B6*3.956</f>
        <v>1.2648163225267786</v>
      </c>
      <c r="S4" s="214">
        <f>Q4/B6*3.956</f>
        <v>1.7363248313193742</v>
      </c>
      <c r="T4" s="65">
        <f>P4+J4</f>
        <v>53.68259512491847</v>
      </c>
      <c r="U4" s="158">
        <f>Q4+J4</f>
        <v>72.27595391451527</v>
      </c>
    </row>
    <row r="5" spans="1:21" ht="12.75">
      <c r="A5" s="196"/>
      <c r="B5" s="213">
        <v>75.31</v>
      </c>
      <c r="C5" s="216">
        <f>(B6-B5)/(B5+B2)</f>
        <v>0.9678541441765622</v>
      </c>
      <c r="D5" s="199"/>
      <c r="E5" s="199"/>
      <c r="F5" s="167">
        <v>3</v>
      </c>
      <c r="G5" s="56">
        <f>H5/B6*3.956</f>
        <v>1.9818205128205126</v>
      </c>
      <c r="H5" s="56">
        <f>H2+20-E2</f>
        <v>78.15065722952477</v>
      </c>
      <c r="I5" s="56">
        <f>B4*G5/3.956</f>
        <v>6.6177575769360395</v>
      </c>
      <c r="J5" s="134">
        <f>J2+E2</f>
        <v>4.806117290192113</v>
      </c>
      <c r="K5" s="56">
        <f>H5+J5-10</f>
        <v>72.95677451971689</v>
      </c>
      <c r="L5" s="56">
        <f>H5+J5+10</f>
        <v>92.95677451971689</v>
      </c>
      <c r="M5" s="56">
        <f>M4</f>
        <v>0.466017425792056</v>
      </c>
      <c r="N5" s="56">
        <f>B4/(I5+0.5*E4*E6/120+0.022)</f>
        <v>1.7644970886752158</v>
      </c>
      <c r="O5" s="56">
        <f>B4/(I5-0.5*E4*E6/120-0.022)</f>
        <v>2.2978058264644154</v>
      </c>
      <c r="P5" s="134">
        <f>B6/N4-1+M4</f>
        <v>68.87647783472637</v>
      </c>
      <c r="Q5" s="134">
        <f>B6/O3+58-M5+0.045</f>
        <v>87.46983662432316</v>
      </c>
      <c r="R5" s="214">
        <f>P5/B6*3.956</f>
        <v>1.7466368353472919</v>
      </c>
      <c r="S5" s="214">
        <f>Q5/B6*3.956</f>
        <v>2.218145344139887</v>
      </c>
      <c r="T5" s="65">
        <f>P5+J5</f>
        <v>73.68259512491849</v>
      </c>
      <c r="U5" s="158">
        <f>Q5+J5</f>
        <v>92.27595391451528</v>
      </c>
    </row>
    <row r="6" spans="1:21" ht="13.5" thickBot="1">
      <c r="A6" s="201"/>
      <c r="B6" s="200">
        <v>156</v>
      </c>
      <c r="C6" s="202"/>
      <c r="D6" s="203"/>
      <c r="E6" s="209">
        <f>120*(20*B4/B6)/E4</f>
        <v>77.90512820512821</v>
      </c>
      <c r="F6" s="168">
        <v>0</v>
      </c>
      <c r="G6" s="159">
        <f>G2</f>
        <v>1.5</v>
      </c>
      <c r="H6" s="159"/>
      <c r="I6" s="159"/>
      <c r="J6" s="164">
        <f>J2</f>
        <v>3.8061172901921134</v>
      </c>
      <c r="K6" s="163">
        <f>K2-20</f>
        <v>12.956774519716888</v>
      </c>
      <c r="L6" s="163">
        <f>L2+20</f>
        <v>112.95677451971689</v>
      </c>
      <c r="M6" s="163"/>
      <c r="N6" s="163"/>
      <c r="O6" s="163"/>
      <c r="P6" s="220">
        <f>MAX(P2,P3)</f>
        <v>31.63937356958406</v>
      </c>
      <c r="Q6" s="220">
        <f>MIN(Q2,Q5)</f>
        <v>86.66194088946547</v>
      </c>
      <c r="R6" s="219">
        <f>P6/B6*3.956</f>
        <v>0.8023420630850931</v>
      </c>
      <c r="S6" s="219">
        <f>Q6/B6*3.956</f>
        <v>2.1976579369149065</v>
      </c>
      <c r="T6" s="165">
        <f>T3</f>
        <v>33.68259512491847</v>
      </c>
      <c r="U6" s="166">
        <f>U5</f>
        <v>92.27595391451528</v>
      </c>
    </row>
    <row r="7" spans="1:21" ht="12.75">
      <c r="A7" s="192">
        <v>0.75</v>
      </c>
      <c r="B7" s="193">
        <v>8.06</v>
      </c>
      <c r="D7" s="204">
        <v>60</v>
      </c>
      <c r="E7" s="210">
        <f>60/D7</f>
        <v>1</v>
      </c>
      <c r="F7" s="205">
        <v>0</v>
      </c>
      <c r="G7" s="206">
        <v>4</v>
      </c>
      <c r="H7" s="207">
        <f>B11*G7/3.956</f>
        <v>157.7350859453994</v>
      </c>
      <c r="I7" s="207">
        <f>(B7+B10)*G7/3.956</f>
        <v>84.29726996966633</v>
      </c>
      <c r="J7" s="169">
        <f>B7*G7/3.956+A7</f>
        <v>8.899646107178969</v>
      </c>
      <c r="K7" s="215">
        <f>H7+J7-30</f>
        <v>136.63473205257836</v>
      </c>
      <c r="L7" s="215">
        <f>J7+H7+30</f>
        <v>196.63473205257836</v>
      </c>
      <c r="M7" s="155">
        <f>C10*ASIN(45/2/280)/PI()*60</f>
        <v>1.4869771053225798</v>
      </c>
      <c r="N7" s="155">
        <f>(B7+B10)/(I7+0.5*60*180/360+0.5*A9)</f>
        <v>0.835393593685885</v>
      </c>
      <c r="O7" s="155">
        <f>(B7+B10)/(I7-0.5*60*180/360-0.5*A9)</f>
        <v>1.2118213417008987</v>
      </c>
      <c r="P7" s="217">
        <f>T7-J8</f>
        <v>130.2238022854587</v>
      </c>
      <c r="Q7" s="217">
        <f>U7-J10</f>
        <v>185.2463696053401</v>
      </c>
      <c r="R7" s="218">
        <f>(T7-A7)/(B7+B11)*3.956</f>
        <v>3.3125037293750736</v>
      </c>
      <c r="S7" s="218">
        <f>(U7-A7)/(B7+B11)*3.956</f>
        <v>4.687496270624926</v>
      </c>
      <c r="T7" s="156">
        <f>(B7+B11)/N7-60+M7-0.5*A9+A7</f>
        <v>138.12344839263767</v>
      </c>
      <c r="U7" s="157">
        <f>(B7+B11)/O7+60-M7+0.5*A9+A7</f>
        <v>195.14601571251907</v>
      </c>
    </row>
    <row r="8" spans="1:21" ht="12.75">
      <c r="A8" s="196"/>
      <c r="B8" s="197"/>
      <c r="C8" s="198"/>
      <c r="D8" s="199"/>
      <c r="E8" s="199"/>
      <c r="F8" s="167">
        <v>1</v>
      </c>
      <c r="G8" s="56">
        <f>H8/B11*3.956</f>
        <v>3.5181794871794874</v>
      </c>
      <c r="H8" s="56">
        <f>H7-20+E7</f>
        <v>138.7350859453994</v>
      </c>
      <c r="I8" s="56">
        <f>B9*G8/3.956</f>
        <v>11.748015931658502</v>
      </c>
      <c r="J8" s="134">
        <f>J7-E7</f>
        <v>7.8996461071789685</v>
      </c>
      <c r="K8" s="56">
        <f>H8+J8-10</f>
        <v>136.63473205257836</v>
      </c>
      <c r="L8" s="56">
        <f>H8+J8+10</f>
        <v>156.63473205257836</v>
      </c>
      <c r="M8" s="56">
        <f>C9*ASIN(30.1/2/290)/PI()*60/D9</f>
        <v>0.466017425792056</v>
      </c>
      <c r="N8" s="56">
        <f>B9/(I8+0.5*E9*E11/120+0.022)</f>
        <v>1.0470157796441129</v>
      </c>
      <c r="O8" s="56">
        <f>B9/(I8-0.5*E9*E11/120-0.022)</f>
        <v>1.2142413438711381</v>
      </c>
      <c r="P8" s="134">
        <f>B11/N10-58+M8</f>
        <v>129.460906550601</v>
      </c>
      <c r="Q8" s="134">
        <f>B11/O9+1-M8+0.045</f>
        <v>148.0542653401978</v>
      </c>
      <c r="R8" s="214">
        <f>P8/B11*3.956</f>
        <v>3.2829958097062666</v>
      </c>
      <c r="S8" s="214">
        <f>Q8/B11*3.956</f>
        <v>3.754504318498862</v>
      </c>
      <c r="T8" s="65">
        <f>P8+J8</f>
        <v>137.36055265777998</v>
      </c>
      <c r="U8" s="158">
        <f>Q8+J8</f>
        <v>155.95391144737675</v>
      </c>
    </row>
    <row r="9" spans="1:21" ht="12.75">
      <c r="A9" s="212">
        <v>1</v>
      </c>
      <c r="B9" s="194">
        <v>13.21</v>
      </c>
      <c r="C9" s="199">
        <f>(B11-B9)/B9</f>
        <v>10.809235427706282</v>
      </c>
      <c r="D9" s="208">
        <v>23</v>
      </c>
      <c r="E9" s="195">
        <f>60/D9</f>
        <v>2.608695652173913</v>
      </c>
      <c r="F9" s="167">
        <v>2</v>
      </c>
      <c r="G9" s="56">
        <f>H9/B11*3.956</f>
        <v>4</v>
      </c>
      <c r="H9" s="56">
        <f>H7</f>
        <v>157.7350859453994</v>
      </c>
      <c r="I9" s="56">
        <f>B9*G9/3.956</f>
        <v>13.356926188068757</v>
      </c>
      <c r="J9" s="134">
        <f>J7</f>
        <v>8.899646107178969</v>
      </c>
      <c r="K9" s="56">
        <f>H9+J9-10</f>
        <v>156.63473205257836</v>
      </c>
      <c r="L9" s="56">
        <f>H9+J9+10</f>
        <v>176.63473205257836</v>
      </c>
      <c r="M9" s="56">
        <f>M8</f>
        <v>0.466017425792056</v>
      </c>
      <c r="N9" s="56">
        <f>B9/(I9+0.5*E9*E11/120+0.022)</f>
        <v>0.9285996783158235</v>
      </c>
      <c r="O9" s="56">
        <f>B9/(I9-0.5*E9*E11/120-0.022)</f>
        <v>1.0578043796500933</v>
      </c>
      <c r="P9" s="134">
        <f>B11/N8-1+M9</f>
        <v>148.460906550601</v>
      </c>
      <c r="Q9" s="134">
        <f>B11/O10+1-M9+0.045</f>
        <v>167.0542653401978</v>
      </c>
      <c r="R9" s="214">
        <f>P9/B11*3.956</f>
        <v>3.7648163225267792</v>
      </c>
      <c r="S9" s="214">
        <f>Q9/B11*3.956</f>
        <v>4.236324831319375</v>
      </c>
      <c r="T9" s="65">
        <f>P9+J9</f>
        <v>157.36055265777998</v>
      </c>
      <c r="U9" s="158">
        <f>Q9+J9</f>
        <v>175.95391144737675</v>
      </c>
    </row>
    <row r="10" spans="1:21" ht="12.75">
      <c r="A10" s="196"/>
      <c r="B10" s="213">
        <v>75.31</v>
      </c>
      <c r="C10" s="216">
        <f>(B11-B10)/(B10+B7)</f>
        <v>0.9678541441765622</v>
      </c>
      <c r="D10" s="199"/>
      <c r="E10" s="199"/>
      <c r="F10" s="167">
        <v>3</v>
      </c>
      <c r="G10" s="56">
        <f>H10/B11*3.956</f>
        <v>4.481820512820513</v>
      </c>
      <c r="H10" s="56">
        <f>H7+20-E7</f>
        <v>176.7350859453994</v>
      </c>
      <c r="I10" s="56">
        <f>B9*G10/3.956</f>
        <v>14.965836444479015</v>
      </c>
      <c r="J10" s="134">
        <f>J7+E7</f>
        <v>9.899646107178969</v>
      </c>
      <c r="K10" s="56">
        <f>H10+J10-10</f>
        <v>176.63473205257836</v>
      </c>
      <c r="L10" s="56">
        <f>H10+J10+10</f>
        <v>196.63473205257836</v>
      </c>
      <c r="M10" s="56">
        <f>M9</f>
        <v>0.466017425792056</v>
      </c>
      <c r="N10" s="56">
        <f>B9/(I10+0.5*E9*E11/120+0.022)</f>
        <v>0.8342473996488666</v>
      </c>
      <c r="O10" s="56">
        <f>B9/(I10-0.5*E9*E11/120-0.022)</f>
        <v>0.9370760476153406</v>
      </c>
      <c r="P10" s="134">
        <f>B11/N9-1+M9</f>
        <v>167.46090655060098</v>
      </c>
      <c r="Q10" s="134">
        <f>B11/O8+58-M10+0.045</f>
        <v>186.0542653401978</v>
      </c>
      <c r="R10" s="214">
        <f>P10/B11*3.956</f>
        <v>4.246636835347291</v>
      </c>
      <c r="S10" s="214">
        <f>Q10/B11*3.956</f>
        <v>4.718145344139888</v>
      </c>
      <c r="T10" s="65">
        <f>P10+J10</f>
        <v>177.36055265777995</v>
      </c>
      <c r="U10" s="158">
        <f>Q10+J10</f>
        <v>195.95391144737675</v>
      </c>
    </row>
    <row r="11" spans="1:21" ht="13.5" thickBot="1">
      <c r="A11" s="201"/>
      <c r="B11" s="200">
        <v>156</v>
      </c>
      <c r="C11" s="202"/>
      <c r="D11" s="203"/>
      <c r="E11" s="209">
        <f>120*(20*B9/B11)/E9</f>
        <v>77.90512820512821</v>
      </c>
      <c r="F11" s="168">
        <v>0</v>
      </c>
      <c r="G11" s="159">
        <f>G7</f>
        <v>4</v>
      </c>
      <c r="H11" s="159"/>
      <c r="I11" s="159"/>
      <c r="J11" s="164">
        <f>J7</f>
        <v>8.899646107178969</v>
      </c>
      <c r="K11" s="163">
        <f>K7-20</f>
        <v>116.63473205257836</v>
      </c>
      <c r="L11" s="163">
        <f>L7+20</f>
        <v>216.63473205257836</v>
      </c>
      <c r="M11" s="163"/>
      <c r="N11" s="163"/>
      <c r="O11" s="163"/>
      <c r="P11" s="220">
        <f>MAX(P7,P8)</f>
        <v>130.2238022854587</v>
      </c>
      <c r="Q11" s="220">
        <f>MIN(Q7,Q10)</f>
        <v>185.2463696053401</v>
      </c>
      <c r="R11" s="219">
        <f>P11/B11*3.956</f>
        <v>3.302342063085094</v>
      </c>
      <c r="S11" s="219">
        <f>Q11/B11*3.956</f>
        <v>4.697657936914907</v>
      </c>
      <c r="T11" s="165">
        <f>T8</f>
        <v>137.36055265777998</v>
      </c>
      <c r="U11" s="166">
        <f>U10</f>
        <v>195.95391144737675</v>
      </c>
    </row>
    <row r="12" spans="1:21" ht="12.75">
      <c r="A12" s="192">
        <v>0.75</v>
      </c>
      <c r="B12" s="193">
        <v>8.06</v>
      </c>
      <c r="D12" s="204">
        <v>60</v>
      </c>
      <c r="E12" s="210">
        <f>60/D12</f>
        <v>1</v>
      </c>
      <c r="F12" s="205">
        <v>0</v>
      </c>
      <c r="G12" s="206">
        <v>16.8</v>
      </c>
      <c r="H12" s="207">
        <f>B16*G12/3.956</f>
        <v>662.4873609706775</v>
      </c>
      <c r="I12" s="207">
        <f>(B12+B15)*G12/3.956</f>
        <v>354.0485338725986</v>
      </c>
      <c r="J12" s="169">
        <f>B12*G12/3.956+A12</f>
        <v>34.978513650151676</v>
      </c>
      <c r="K12" s="215">
        <f>H12+J12-30</f>
        <v>667.4658746208291</v>
      </c>
      <c r="L12" s="215">
        <f>J12+H12+30</f>
        <v>727.4658746208291</v>
      </c>
      <c r="M12" s="155">
        <f>C15*ASIN(45/2/280)/PI()*60</f>
        <v>1.4869771053225798</v>
      </c>
      <c r="N12" s="155">
        <f>(B12+B15)/(I12+0.5*60*180/360+0.5*A14)</f>
        <v>0.22559959615139943</v>
      </c>
      <c r="O12" s="155">
        <f>(B12+B15)/(I12-0.5*60*180/360-0.5*A14)</f>
        <v>0.24625715860099842</v>
      </c>
      <c r="P12" s="217">
        <f>T12-J13</f>
        <v>634.9760773107369</v>
      </c>
      <c r="Q12" s="217">
        <f>U12-J15</f>
        <v>689.9986446306183</v>
      </c>
      <c r="R12" s="221">
        <f>(T12-A12)/(B12+B16)*3.956</f>
        <v>16.112503729375074</v>
      </c>
      <c r="S12" s="221">
        <f>(U12-A12)/(B12+B16)*3.956</f>
        <v>17.487496270624927</v>
      </c>
      <c r="T12" s="156">
        <f>(B12+B16)/N12-60+M12-0.5*A14+A12</f>
        <v>668.9545909608885</v>
      </c>
      <c r="U12" s="157">
        <f>(B12+B16)/O12+60-M12+0.5*A14+A12</f>
        <v>725.9771582807699</v>
      </c>
    </row>
    <row r="13" spans="1:21" ht="12.75">
      <c r="A13" s="196"/>
      <c r="B13" s="197"/>
      <c r="C13" s="198"/>
      <c r="D13" s="199"/>
      <c r="E13" s="199"/>
      <c r="F13" s="167">
        <v>1</v>
      </c>
      <c r="G13" s="56">
        <f>H13/B16*3.956</f>
        <v>16.31817948717949</v>
      </c>
      <c r="H13" s="56">
        <f>H12-20+E12</f>
        <v>643.4873609706775</v>
      </c>
      <c r="I13" s="56">
        <f>B14*G13/3.956</f>
        <v>54.49017973347853</v>
      </c>
      <c r="J13" s="134">
        <f>J12-E12</f>
        <v>33.978513650151676</v>
      </c>
      <c r="K13" s="56">
        <f>H13+J13-10</f>
        <v>667.4658746208291</v>
      </c>
      <c r="L13" s="56">
        <f>H13+J13+10</f>
        <v>687.4658746208291</v>
      </c>
      <c r="M13" s="56">
        <f>C14*ASIN(30.1/2/290)/PI()*60/D14</f>
        <v>0.466017425792056</v>
      </c>
      <c r="N13" s="56">
        <f>B14/(I13+0.5*E14*E16/120+0.022)</f>
        <v>0.23862436206940943</v>
      </c>
      <c r="O13" s="56">
        <f>B14/(I13-0.5*E14*E16/120-0.022)</f>
        <v>0.24635693453414512</v>
      </c>
      <c r="P13" s="134">
        <f>B16/N15-58+M13</f>
        <v>634.2131815758792</v>
      </c>
      <c r="Q13" s="134">
        <f>B16/O14+1-M13+0.045</f>
        <v>652.806540365476</v>
      </c>
      <c r="R13" s="222">
        <f>P13/B16*3.956</f>
        <v>16.08299580970627</v>
      </c>
      <c r="S13" s="222">
        <f>Q13/B16*3.956</f>
        <v>16.554504318498868</v>
      </c>
      <c r="T13" s="65">
        <f>P13+J13</f>
        <v>668.1916952260308</v>
      </c>
      <c r="U13" s="158">
        <f>Q13+J13</f>
        <v>686.7850540156277</v>
      </c>
    </row>
    <row r="14" spans="1:21" ht="12.75">
      <c r="A14" s="212">
        <v>1</v>
      </c>
      <c r="B14" s="194">
        <v>13.21</v>
      </c>
      <c r="C14" s="199">
        <f>(B16-B14)/B14</f>
        <v>10.809235427706282</v>
      </c>
      <c r="D14" s="208">
        <v>23</v>
      </c>
      <c r="E14" s="195">
        <f>60/D14</f>
        <v>2.608695652173913</v>
      </c>
      <c r="F14" s="167">
        <v>2</v>
      </c>
      <c r="G14" s="56">
        <f>H14/B16*3.956</f>
        <v>16.800000000000004</v>
      </c>
      <c r="H14" s="56">
        <f>H12</f>
        <v>662.4873609706775</v>
      </c>
      <c r="I14" s="56">
        <f>B14*G14/3.956</f>
        <v>56.099089989888796</v>
      </c>
      <c r="J14" s="134">
        <f>J12</f>
        <v>34.978513650151676</v>
      </c>
      <c r="K14" s="56">
        <f>H14+J14-10</f>
        <v>687.4658746208291</v>
      </c>
      <c r="L14" s="56">
        <f>H14+J14+10</f>
        <v>707.4658746208291</v>
      </c>
      <c r="M14" s="56">
        <f>M13</f>
        <v>0.466017425792056</v>
      </c>
      <c r="N14" s="56">
        <f>B14/(I14+0.5*E14*E16/120+0.022)</f>
        <v>0.23188503543836125</v>
      </c>
      <c r="O14" s="56">
        <f>B14/(I14-0.5*E14*E16/120-0.022)</f>
        <v>0.23918032615531487</v>
      </c>
      <c r="P14" s="134">
        <f>B16/N13-1+M14</f>
        <v>653.213181575879</v>
      </c>
      <c r="Q14" s="134">
        <f>B16/O15+1-M14+0.045</f>
        <v>671.8065403654759</v>
      </c>
      <c r="R14" s="222">
        <f>P14/B16*3.956</f>
        <v>16.56481632252678</v>
      </c>
      <c r="S14" s="222">
        <f>Q14/B16*3.956</f>
        <v>17.03632483131938</v>
      </c>
      <c r="T14" s="65">
        <f>P14+J14</f>
        <v>688.1916952260307</v>
      </c>
      <c r="U14" s="158">
        <f>Q14+J14</f>
        <v>706.7850540156276</v>
      </c>
    </row>
    <row r="15" spans="1:21" ht="12.75">
      <c r="A15" s="196"/>
      <c r="B15" s="213">
        <v>75.31</v>
      </c>
      <c r="C15" s="216">
        <f>(B16-B15)/(B15+B12)</f>
        <v>0.9678541441765622</v>
      </c>
      <c r="D15" s="199"/>
      <c r="E15" s="199"/>
      <c r="F15" s="167">
        <v>3</v>
      </c>
      <c r="G15" s="56">
        <f>H15/B16*3.956</f>
        <v>17.281820512820513</v>
      </c>
      <c r="H15" s="56">
        <f>H12+20-E12</f>
        <v>681.4873609706775</v>
      </c>
      <c r="I15" s="56">
        <f>B14*G15/3.956</f>
        <v>57.708000246299044</v>
      </c>
      <c r="J15" s="134">
        <f>J12+E12</f>
        <v>35.978513650151676</v>
      </c>
      <c r="K15" s="56">
        <f>H15+J15-10</f>
        <v>707.4658746208291</v>
      </c>
      <c r="L15" s="56">
        <f>H15+J15+10</f>
        <v>727.4658746208291</v>
      </c>
      <c r="M15" s="56">
        <f>M14</f>
        <v>0.466017425792056</v>
      </c>
      <c r="N15" s="56">
        <f>B14/(I15+0.5*E14*E16/120+0.022)</f>
        <v>0.22551592270229096</v>
      </c>
      <c r="O15" s="56">
        <f>B14/(I15-0.5*E14*E16/120-0.022)</f>
        <v>0.23241000490702649</v>
      </c>
      <c r="P15" s="134">
        <f>B16/N14-1+M14</f>
        <v>672.2131815758793</v>
      </c>
      <c r="Q15" s="134">
        <f>B16/O13+58-M15+0.045</f>
        <v>690.8065403654758</v>
      </c>
      <c r="R15" s="222">
        <f>P15/B16*3.956</f>
        <v>17.046636835347297</v>
      </c>
      <c r="S15" s="222">
        <f>Q15/B16*3.956</f>
        <v>17.518145344139885</v>
      </c>
      <c r="T15" s="65">
        <f>P15+J15</f>
        <v>708.1916952260309</v>
      </c>
      <c r="U15" s="158">
        <f>Q15+J15</f>
        <v>726.7850540156275</v>
      </c>
    </row>
    <row r="16" spans="1:21" ht="13.5" thickBot="1">
      <c r="A16" s="201"/>
      <c r="B16" s="200">
        <v>156</v>
      </c>
      <c r="C16" s="202"/>
      <c r="D16" s="203"/>
      <c r="E16" s="209">
        <f>120*(20*B14/B16)/E14</f>
        <v>77.90512820512821</v>
      </c>
      <c r="F16" s="168">
        <v>0</v>
      </c>
      <c r="G16" s="159">
        <f>G12</f>
        <v>16.8</v>
      </c>
      <c r="H16" s="159"/>
      <c r="I16" s="159"/>
      <c r="J16" s="164">
        <f>J12</f>
        <v>34.978513650151676</v>
      </c>
      <c r="K16" s="163">
        <f>K12-20</f>
        <v>647.4658746208291</v>
      </c>
      <c r="L16" s="163">
        <f>L12+20</f>
        <v>747.4658746208291</v>
      </c>
      <c r="M16" s="163"/>
      <c r="N16" s="163"/>
      <c r="O16" s="163"/>
      <c r="P16" s="220">
        <f>MAX(P12,P13)</f>
        <v>634.9760773107369</v>
      </c>
      <c r="Q16" s="220">
        <f>MIN(Q12,Q15)</f>
        <v>689.9986446306183</v>
      </c>
      <c r="R16" s="135">
        <f>P16/B16*3.956</f>
        <v>16.102342063085093</v>
      </c>
      <c r="S16" s="135">
        <f>Q16/B16*3.956</f>
        <v>17.497657936914912</v>
      </c>
      <c r="T16" s="165">
        <f>T13</f>
        <v>668.1916952260308</v>
      </c>
      <c r="U16" s="166">
        <f>U15</f>
        <v>726.7850540156275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Lieutenant</dc:creator>
  <cp:keywords/>
  <dc:description/>
  <cp:lastModifiedBy>Klaus Lieutenant</cp:lastModifiedBy>
  <cp:lastPrinted>2004-07-28T13:08:07Z</cp:lastPrinted>
  <dcterms:created xsi:type="dcterms:W3CDTF">2002-03-07T16:16:21Z</dcterms:created>
  <dcterms:modified xsi:type="dcterms:W3CDTF">2004-07-29T08:44:19Z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